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l\Documents\PNG\PNG Economic Governance\"/>
    </mc:Choice>
  </mc:AlternateContent>
  <bookViews>
    <workbookView xWindow="0" yWindow="0" windowWidth="28770" windowHeight="15555" activeTab="1"/>
  </bookViews>
  <sheets>
    <sheet name="Sheet1" sheetId="1" r:id="rId1"/>
    <sheet name="Sheet4" sheetId="4" r:id="rId2"/>
    <sheet name="Sheet2" sheetId="2" r:id="rId3"/>
    <sheet name="Movement in sales" sheetId="3" r:id="rId4"/>
  </sheets>
  <definedNames>
    <definedName name="_xlnm.Print_Area" localSheetId="1">Sheet4!$B$3:$I$11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1" l="1"/>
  <c r="H5" i="4"/>
  <c r="H8" i="4"/>
  <c r="H9" i="4"/>
  <c r="H10" i="4"/>
  <c r="H7" i="4"/>
  <c r="G6" i="4"/>
  <c r="I6" i="4" s="1"/>
  <c r="G9" i="4"/>
  <c r="I9" i="4" s="1"/>
  <c r="F6" i="4"/>
  <c r="F7" i="4"/>
  <c r="G7" i="4" s="1"/>
  <c r="I7" i="4" s="1"/>
  <c r="F8" i="4"/>
  <c r="G8" i="4" s="1"/>
  <c r="I8" i="4" s="1"/>
  <c r="F5" i="4"/>
  <c r="G5" i="4" s="1"/>
  <c r="I5" i="4" s="1"/>
  <c r="F9" i="4"/>
  <c r="E10" i="4"/>
  <c r="E8" i="4"/>
  <c r="E9" i="4"/>
  <c r="E7" i="4"/>
  <c r="E6" i="4"/>
  <c r="E5" i="4"/>
  <c r="D10" i="4"/>
  <c r="F10" i="4" s="1"/>
  <c r="G10" i="4" s="1"/>
  <c r="I10" i="4" s="1"/>
  <c r="C10" i="4"/>
  <c r="Q43" i="1"/>
  <c r="Q39" i="1"/>
  <c r="Q35" i="1"/>
  <c r="Q34" i="1"/>
  <c r="O34" i="1"/>
  <c r="O50" i="1"/>
  <c r="O44" i="1"/>
  <c r="O35" i="1"/>
  <c r="Q50" i="1"/>
  <c r="H50" i="1"/>
  <c r="H48" i="1"/>
  <c r="L48" i="1"/>
  <c r="M48" i="1"/>
  <c r="N48" i="1"/>
  <c r="P48" i="1"/>
  <c r="K43" i="1"/>
  <c r="K44" i="1" s="1"/>
  <c r="J44" i="1"/>
  <c r="J43" i="1"/>
  <c r="K39" i="1"/>
  <c r="J39" i="1"/>
  <c r="K35" i="1"/>
  <c r="J35" i="1"/>
  <c r="K34" i="1"/>
  <c r="J34" i="1"/>
  <c r="N46" i="1"/>
  <c r="S43" i="1" l="1"/>
  <c r="S39" i="1"/>
  <c r="S35" i="1"/>
  <c r="S34" i="1"/>
  <c r="D54" i="1"/>
  <c r="E54" i="1"/>
  <c r="F54" i="1"/>
  <c r="G54" i="1"/>
  <c r="H54" i="1"/>
  <c r="I54" i="1"/>
  <c r="J54" i="1"/>
  <c r="K54" i="1"/>
  <c r="D55" i="1"/>
  <c r="E55" i="1"/>
  <c r="F55" i="1"/>
  <c r="G55" i="1"/>
  <c r="H55" i="1"/>
  <c r="I55" i="1"/>
  <c r="J55" i="1"/>
  <c r="K55" i="1"/>
  <c r="D56" i="1"/>
  <c r="E56" i="1"/>
  <c r="F56" i="1"/>
  <c r="G56" i="1"/>
  <c r="H56" i="1"/>
  <c r="I56" i="1"/>
  <c r="J56" i="1"/>
  <c r="K56" i="1"/>
  <c r="D57" i="1"/>
  <c r="E57" i="1"/>
  <c r="F57" i="1"/>
  <c r="G57" i="1"/>
  <c r="H57" i="1"/>
  <c r="I57" i="1"/>
  <c r="J57" i="1"/>
  <c r="K57" i="1"/>
  <c r="D58" i="1"/>
  <c r="E58" i="1"/>
  <c r="F58" i="1"/>
  <c r="G58" i="1"/>
  <c r="H58" i="1"/>
  <c r="I58" i="1"/>
  <c r="J58" i="1"/>
  <c r="K58" i="1"/>
  <c r="D59" i="1"/>
  <c r="E59" i="1"/>
  <c r="F59" i="1"/>
  <c r="G59" i="1"/>
  <c r="H59" i="1"/>
  <c r="I59" i="1"/>
  <c r="J59" i="1"/>
  <c r="K59" i="1"/>
  <c r="D60" i="1"/>
  <c r="E60" i="1"/>
  <c r="F60" i="1"/>
  <c r="G60" i="1"/>
  <c r="H60" i="1"/>
  <c r="I60" i="1"/>
  <c r="J60" i="1"/>
  <c r="K60" i="1"/>
  <c r="D61" i="1"/>
  <c r="E61" i="1"/>
  <c r="F61" i="1"/>
  <c r="G61" i="1"/>
  <c r="H61" i="1"/>
  <c r="I61" i="1"/>
  <c r="J61" i="1"/>
  <c r="K61" i="1"/>
  <c r="D62" i="1"/>
  <c r="E62" i="1"/>
  <c r="F62" i="1"/>
  <c r="G62" i="1"/>
  <c r="H62" i="1"/>
  <c r="I62" i="1"/>
  <c r="J62" i="1"/>
  <c r="K62" i="1"/>
  <c r="E53" i="1"/>
  <c r="F53" i="1"/>
  <c r="G53" i="1"/>
  <c r="H53" i="1"/>
  <c r="I53" i="1"/>
  <c r="J53" i="1"/>
  <c r="K53" i="1"/>
  <c r="D53" i="1"/>
  <c r="B54" i="1"/>
  <c r="B55" i="1"/>
  <c r="B56" i="1"/>
  <c r="B57" i="1"/>
  <c r="B58" i="1"/>
  <c r="B59" i="1"/>
  <c r="B60" i="1"/>
  <c r="B61" i="1"/>
  <c r="B62" i="1"/>
  <c r="B53" i="1"/>
  <c r="X67" i="1"/>
  <c r="Y67" i="1"/>
  <c r="Z67" i="1"/>
  <c r="AA67" i="1"/>
  <c r="AB67" i="1"/>
  <c r="W67" i="1"/>
  <c r="E48" i="1"/>
  <c r="E49" i="1" s="1"/>
  <c r="F48" i="1"/>
  <c r="F49" i="1" s="1"/>
  <c r="G48" i="1"/>
  <c r="G49" i="1" s="1"/>
  <c r="H49" i="1"/>
  <c r="M49" i="1"/>
  <c r="D48" i="1"/>
  <c r="N49" i="1" l="1"/>
  <c r="L49" i="1"/>
  <c r="N111" i="1"/>
  <c r="M116" i="1"/>
  <c r="N116" i="1" s="1"/>
  <c r="M115" i="1"/>
  <c r="N115" i="1" s="1"/>
  <c r="M114" i="1"/>
  <c r="M113" i="1"/>
  <c r="N113" i="1" s="1"/>
  <c r="M112" i="1"/>
  <c r="N112" i="1" s="1"/>
  <c r="N117" i="1" s="1"/>
  <c r="M111" i="1"/>
  <c r="L103" i="1"/>
  <c r="L104" i="1"/>
  <c r="L105" i="1"/>
  <c r="L106" i="1"/>
  <c r="L107" i="1"/>
  <c r="L108" i="1"/>
  <c r="L109" i="1"/>
  <c r="L111" i="1"/>
  <c r="L112" i="1"/>
  <c r="L113" i="1"/>
  <c r="L114" i="1"/>
  <c r="N114" i="1" s="1"/>
  <c r="L115" i="1"/>
  <c r="L116" i="1"/>
  <c r="L102" i="1"/>
  <c r="B4" i="2"/>
  <c r="D4" i="2"/>
  <c r="B5" i="2"/>
  <c r="B6" i="2"/>
  <c r="B7" i="2"/>
  <c r="C3" i="2"/>
  <c r="D3" i="2"/>
  <c r="E3" i="2"/>
  <c r="F3" i="2"/>
  <c r="G3" i="2"/>
  <c r="E70" i="1"/>
  <c r="D73" i="1"/>
  <c r="D7" i="2" s="1"/>
  <c r="D72" i="1"/>
  <c r="D6" i="2" s="1"/>
  <c r="D71" i="1"/>
  <c r="D5" i="2" s="1"/>
  <c r="D70" i="1"/>
  <c r="Q26" i="1"/>
  <c r="N23" i="1"/>
  <c r="P29" i="1"/>
  <c r="P26" i="1"/>
  <c r="P25" i="1"/>
  <c r="O27" i="1"/>
  <c r="O26" i="1"/>
  <c r="O25" i="1"/>
  <c r="O24" i="1"/>
  <c r="E73" i="1" s="1"/>
  <c r="O23" i="1"/>
  <c r="E72" i="1" s="1"/>
  <c r="O22" i="1"/>
  <c r="O21" i="1"/>
  <c r="O20" i="1"/>
  <c r="O19" i="1"/>
  <c r="Q19" i="1" s="1"/>
  <c r="O18" i="1"/>
  <c r="M28" i="1"/>
  <c r="M25" i="1"/>
  <c r="M26" i="1"/>
  <c r="L46" i="1"/>
  <c r="M46" i="1"/>
  <c r="H46" i="1"/>
  <c r="M4" i="1"/>
  <c r="M18" i="1" s="1"/>
  <c r="N4" i="1"/>
  <c r="N18" i="1" s="1"/>
  <c r="O4" i="1"/>
  <c r="P4" i="1"/>
  <c r="Q4" i="1"/>
  <c r="R4" i="1"/>
  <c r="M5" i="1"/>
  <c r="M19" i="1" s="1"/>
  <c r="N5" i="1"/>
  <c r="O5" i="1"/>
  <c r="P5" i="1"/>
  <c r="Q5" i="1"/>
  <c r="R5" i="1"/>
  <c r="M6" i="1"/>
  <c r="M20" i="1" s="1"/>
  <c r="N6" i="1"/>
  <c r="N20" i="1" s="1"/>
  <c r="Q20" i="1" s="1"/>
  <c r="O6" i="1"/>
  <c r="P6" i="1"/>
  <c r="Q6" i="1"/>
  <c r="R6" i="1"/>
  <c r="M7" i="1"/>
  <c r="M21" i="1" s="1"/>
  <c r="N7" i="1"/>
  <c r="O7" i="1"/>
  <c r="P7" i="1"/>
  <c r="Q7" i="1"/>
  <c r="R7" i="1"/>
  <c r="M8" i="1"/>
  <c r="N8" i="1"/>
  <c r="O8" i="1"/>
  <c r="P8" i="1"/>
  <c r="Q8" i="1"/>
  <c r="R8" i="1"/>
  <c r="M9" i="1"/>
  <c r="M23" i="1" s="1"/>
  <c r="N9" i="1"/>
  <c r="O9" i="1"/>
  <c r="P9" i="1"/>
  <c r="Q9" i="1"/>
  <c r="R9" i="1"/>
  <c r="M10" i="1"/>
  <c r="M24" i="1" s="1"/>
  <c r="P24" i="1" s="1"/>
  <c r="N10" i="1"/>
  <c r="N24" i="1" s="1"/>
  <c r="Q24" i="1" s="1"/>
  <c r="O10" i="1"/>
  <c r="P10" i="1"/>
  <c r="Q10" i="1"/>
  <c r="R10" i="1"/>
  <c r="M11" i="1"/>
  <c r="N11" i="1"/>
  <c r="N25" i="1" s="1"/>
  <c r="Q25" i="1" s="1"/>
  <c r="O11" i="1"/>
  <c r="P11" i="1"/>
  <c r="Q11" i="1"/>
  <c r="R11" i="1"/>
  <c r="M12" i="1"/>
  <c r="N12" i="1"/>
  <c r="N26" i="1" s="1"/>
  <c r="O12" i="1"/>
  <c r="P12" i="1"/>
  <c r="Q12" i="1"/>
  <c r="R12" i="1"/>
  <c r="M13" i="1"/>
  <c r="M27" i="1" s="1"/>
  <c r="N13" i="1"/>
  <c r="O13" i="1"/>
  <c r="P13" i="1"/>
  <c r="Q13" i="1"/>
  <c r="R13" i="1"/>
  <c r="M14" i="1"/>
  <c r="M22" i="1" s="1"/>
  <c r="N14" i="1"/>
  <c r="N19" i="1" s="1"/>
  <c r="O14" i="1"/>
  <c r="P14" i="1"/>
  <c r="Q14" i="1"/>
  <c r="R14" i="1"/>
  <c r="L14" i="1"/>
  <c r="L13" i="1"/>
  <c r="L12" i="1"/>
  <c r="L11" i="1"/>
  <c r="L10" i="1"/>
  <c r="L9" i="1"/>
  <c r="L8" i="1"/>
  <c r="L7" i="1"/>
  <c r="L6" i="1"/>
  <c r="L5" i="1"/>
  <c r="L4" i="1"/>
  <c r="P18" i="1" l="1"/>
  <c r="E71" i="1"/>
  <c r="S19" i="1"/>
  <c r="P21" i="1"/>
  <c r="C73" i="1"/>
  <c r="C7" i="2" s="1"/>
  <c r="S27" i="1"/>
  <c r="F73" i="1"/>
  <c r="F7" i="2" s="1"/>
  <c r="G73" i="1"/>
  <c r="G7" i="2" s="1"/>
  <c r="E7" i="2"/>
  <c r="C72" i="1"/>
  <c r="C6" i="2" s="1"/>
  <c r="S23" i="1"/>
  <c r="P44" i="1"/>
  <c r="Q44" i="1"/>
  <c r="P20" i="1"/>
  <c r="C71" i="1"/>
  <c r="C5" i="2" s="1"/>
  <c r="C70" i="1"/>
  <c r="C4" i="2" s="1"/>
  <c r="S18" i="1"/>
  <c r="F72" i="1"/>
  <c r="F6" i="2" s="1"/>
  <c r="E6" i="2"/>
  <c r="G72" i="1"/>
  <c r="G6" i="2" s="1"/>
  <c r="N22" i="1"/>
  <c r="Q22" i="1" s="1"/>
  <c r="P23" i="1"/>
  <c r="N21" i="1"/>
  <c r="Q21" i="1" s="1"/>
  <c r="G70" i="1"/>
  <c r="E4" i="2"/>
  <c r="P22" i="1"/>
  <c r="N28" i="1"/>
  <c r="Q23" i="1"/>
  <c r="N27" i="1"/>
  <c r="Q27" i="1" s="1"/>
  <c r="P19" i="1"/>
  <c r="Q18" i="1"/>
  <c r="P27" i="1"/>
  <c r="R39" i="1" l="1"/>
  <c r="R35" i="1"/>
  <c r="R34" i="1"/>
  <c r="F70" i="1"/>
  <c r="G71" i="1"/>
  <c r="G5" i="2" s="1"/>
  <c r="E5" i="2"/>
  <c r="F71" i="1"/>
  <c r="F5" i="2" s="1"/>
  <c r="G74" i="1"/>
  <c r="G8" i="2" s="1"/>
  <c r="G4" i="2"/>
  <c r="Q28" i="1"/>
  <c r="P28" i="1"/>
  <c r="O48" i="1" l="1"/>
  <c r="O49" i="1" s="1"/>
  <c r="R43" i="1"/>
  <c r="Q48" i="1"/>
  <c r="F4" i="2"/>
  <c r="F74" i="1"/>
  <c r="F8" i="2" s="1"/>
  <c r="P49" i="1" l="1"/>
</calcChain>
</file>

<file path=xl/sharedStrings.xml><?xml version="1.0" encoding="utf-8"?>
<sst xmlns="http://schemas.openxmlformats.org/spreadsheetml/2006/main" count="236" uniqueCount="128">
  <si>
    <t>Agriculture</t>
  </si>
  <si>
    <t>Mining</t>
  </si>
  <si>
    <t>Petroleum</t>
  </si>
  <si>
    <t>Manufacturing</t>
  </si>
  <si>
    <t>Utilities</t>
  </si>
  <si>
    <t>Construction</t>
  </si>
  <si>
    <t>W and R Trade</t>
  </si>
  <si>
    <t>Transport storage and communication</t>
  </si>
  <si>
    <t>Finance, real estate and business services</t>
  </si>
  <si>
    <t>Community, social and personal services</t>
  </si>
  <si>
    <t>New NSO</t>
  </si>
  <si>
    <t>Original from Treasury Budget documents</t>
  </si>
  <si>
    <t>New as percentage of Old</t>
  </si>
  <si>
    <r>
      <rPr>
        <b/>
        <sz val="7"/>
        <rFont val="Arial"/>
        <family val="2"/>
      </rPr>
      <t>TABLE 1: GROSS  DOMESTIC PRODUCT BY ECONOMIC ACTIVITY AT CURRENT</t>
    </r>
  </si>
  <si>
    <r>
      <rPr>
        <b/>
        <sz val="7"/>
        <rFont val="Arial"/>
        <family val="2"/>
      </rPr>
      <t>AND CONSTANT PRICES  (Kina  Million)</t>
    </r>
  </si>
  <si>
    <r>
      <rPr>
        <b/>
        <sz val="7"/>
        <rFont val="Arial"/>
        <family val="2"/>
      </rPr>
      <t xml:space="preserve">2014
</t>
    </r>
    <r>
      <rPr>
        <b/>
        <sz val="7"/>
        <rFont val="Arial"/>
        <family val="2"/>
      </rPr>
      <t>Est</t>
    </r>
  </si>
  <si>
    <r>
      <rPr>
        <b/>
        <sz val="7"/>
        <rFont val="Arial"/>
        <family val="2"/>
      </rPr>
      <t xml:space="preserve">2015
</t>
    </r>
    <r>
      <rPr>
        <b/>
        <sz val="7"/>
        <rFont val="Arial"/>
        <family val="2"/>
      </rPr>
      <t>Est</t>
    </r>
  </si>
  <si>
    <r>
      <rPr>
        <b/>
        <sz val="7"/>
        <rFont val="Arial"/>
        <family val="2"/>
      </rPr>
      <t xml:space="preserve">2016
</t>
    </r>
    <r>
      <rPr>
        <b/>
        <sz val="7"/>
        <rFont val="Arial"/>
        <family val="2"/>
      </rPr>
      <t>Proj</t>
    </r>
  </si>
  <si>
    <r>
      <rPr>
        <b/>
        <sz val="7"/>
        <rFont val="Arial"/>
        <family val="2"/>
      </rPr>
      <t xml:space="preserve">2017
</t>
    </r>
    <r>
      <rPr>
        <b/>
        <sz val="7"/>
        <rFont val="Arial"/>
        <family val="2"/>
      </rPr>
      <t>Proj</t>
    </r>
  </si>
  <si>
    <r>
      <rPr>
        <b/>
        <sz val="7"/>
        <rFont val="Arial"/>
        <family val="2"/>
      </rPr>
      <t xml:space="preserve">2018
</t>
    </r>
    <r>
      <rPr>
        <b/>
        <sz val="7"/>
        <rFont val="Arial"/>
        <family val="2"/>
      </rPr>
      <t>Proj</t>
    </r>
  </si>
  <si>
    <r>
      <rPr>
        <b/>
        <sz val="7"/>
        <rFont val="Arial"/>
        <family val="2"/>
      </rPr>
      <t xml:space="preserve">2019
</t>
    </r>
    <r>
      <rPr>
        <b/>
        <sz val="7"/>
        <rFont val="Arial"/>
        <family val="2"/>
      </rPr>
      <t>Proj</t>
    </r>
  </si>
  <si>
    <r>
      <rPr>
        <b/>
        <sz val="7"/>
        <rFont val="Arial"/>
        <family val="2"/>
      </rPr>
      <t xml:space="preserve">2020
</t>
    </r>
    <r>
      <rPr>
        <b/>
        <sz val="7"/>
        <rFont val="Arial"/>
        <family val="2"/>
      </rPr>
      <t>Proj</t>
    </r>
  </si>
  <si>
    <r>
      <rPr>
        <sz val="7"/>
        <rFont val="Arial"/>
        <family val="2"/>
      </rPr>
      <t>Agriculture,  Forestry  and Fishing</t>
    </r>
  </si>
  <si>
    <r>
      <rPr>
        <sz val="7"/>
        <rFont val="Arial"/>
        <family val="2"/>
      </rPr>
      <t>nominal</t>
    </r>
  </si>
  <si>
    <r>
      <rPr>
        <sz val="7"/>
        <rFont val="Arial"/>
        <family val="2"/>
      </rPr>
      <t>deflator</t>
    </r>
  </si>
  <si>
    <r>
      <rPr>
        <sz val="7"/>
        <rFont val="Arial"/>
        <family val="2"/>
      </rPr>
      <t>real</t>
    </r>
  </si>
  <si>
    <r>
      <rPr>
        <sz val="7"/>
        <rFont val="Arial"/>
        <family val="2"/>
      </rPr>
      <t>rate of real growth</t>
    </r>
  </si>
  <si>
    <r>
      <rPr>
        <sz val="7"/>
        <rFont val="Arial"/>
        <family val="2"/>
      </rPr>
      <t>Oil and Gas  Extraction</t>
    </r>
  </si>
  <si>
    <r>
      <rPr>
        <sz val="7"/>
        <rFont val="Arial"/>
        <family val="2"/>
      </rPr>
      <t>Mining and Quarrying</t>
    </r>
  </si>
  <si>
    <r>
      <rPr>
        <sz val="7"/>
        <rFont val="Arial"/>
        <family val="2"/>
      </rPr>
      <t>Manufacturing</t>
    </r>
  </si>
  <si>
    <r>
      <rPr>
        <sz val="7"/>
        <rFont val="Arial"/>
        <family val="2"/>
      </rPr>
      <t>Electricity,  gas  and water</t>
    </r>
  </si>
  <si>
    <r>
      <rPr>
        <sz val="7"/>
        <rFont val="Arial"/>
        <family val="2"/>
      </rPr>
      <t>Construction</t>
    </r>
  </si>
  <si>
    <r>
      <rPr>
        <sz val="7"/>
        <rFont val="Arial"/>
        <family val="2"/>
      </rPr>
      <t>Wholesale and retail trade</t>
    </r>
  </si>
  <si>
    <r>
      <rPr>
        <sz val="7"/>
        <rFont val="Arial"/>
        <family val="2"/>
      </rPr>
      <t>Transport,  storage and communication</t>
    </r>
  </si>
  <si>
    <r>
      <rPr>
        <sz val="7"/>
        <rFont val="Arial"/>
        <family val="2"/>
      </rPr>
      <t>Finance,  real estate and business  services</t>
    </r>
  </si>
  <si>
    <r>
      <rPr>
        <sz val="7"/>
        <rFont val="Arial"/>
        <family val="2"/>
      </rPr>
      <t>Community,  social and personal services</t>
    </r>
  </si>
  <si>
    <r>
      <rPr>
        <b/>
        <sz val="7"/>
        <rFont val="Arial"/>
        <family val="2"/>
      </rPr>
      <t>TOTAL GDP*</t>
    </r>
  </si>
  <si>
    <r>
      <rPr>
        <b/>
        <sz val="7"/>
        <rFont val="Arial"/>
        <family val="2"/>
      </rPr>
      <t>Total  non-mining GDP</t>
    </r>
  </si>
  <si>
    <r>
      <rPr>
        <sz val="10"/>
        <rFont val="Arial"/>
        <family val="2"/>
      </rPr>
      <t>Source: Department of Treasury</t>
    </r>
  </si>
  <si>
    <t>2016 deflator change</t>
  </si>
  <si>
    <t>Deflator check</t>
  </si>
  <si>
    <t>2015 weights</t>
  </si>
  <si>
    <t>2016 weights</t>
  </si>
  <si>
    <t>Mining and Petroleum</t>
  </si>
  <si>
    <t>Other</t>
  </si>
  <si>
    <t>Treasury 2015 weights</t>
  </si>
  <si>
    <t>NSO BPNG 2015 weights</t>
  </si>
  <si>
    <t>Treasury weighted deflator</t>
  </si>
  <si>
    <t>NSO BPNG weighted deflator</t>
  </si>
  <si>
    <t>Treasury 2016 Sector Deflator</t>
  </si>
  <si>
    <t>Sector (based on BPNG Slide 10 from Cairns presentation)</t>
  </si>
  <si>
    <r>
      <rPr>
        <b/>
        <sz val="9"/>
        <rFont val="Arial"/>
        <family val="2"/>
      </rPr>
      <t>TABLE 3: PRICES OF MAIN EXPORT COMMODITIES</t>
    </r>
  </si>
  <si>
    <r>
      <rPr>
        <b/>
        <sz val="9"/>
        <rFont val="Arial"/>
        <family val="2"/>
      </rPr>
      <t>(Kina per tonne fob, unless otherwise specified)</t>
    </r>
  </si>
  <si>
    <r>
      <rPr>
        <b/>
        <sz val="9"/>
        <rFont val="Arial"/>
        <family val="2"/>
      </rPr>
      <t>Est</t>
    </r>
  </si>
  <si>
    <r>
      <rPr>
        <b/>
        <sz val="9"/>
        <rFont val="Arial"/>
        <family val="2"/>
      </rPr>
      <t>Proj</t>
    </r>
  </si>
  <si>
    <r>
      <rPr>
        <b/>
        <sz val="9"/>
        <rFont val="Arial"/>
        <family val="2"/>
      </rPr>
      <t>AGRICULTURE</t>
    </r>
  </si>
  <si>
    <r>
      <rPr>
        <sz val="9"/>
        <rFont val="Arial"/>
        <family val="2"/>
      </rPr>
      <t>Copra</t>
    </r>
  </si>
  <si>
    <r>
      <rPr>
        <sz val="9"/>
        <rFont val="Arial"/>
        <family val="2"/>
      </rPr>
      <t>Cocoa</t>
    </r>
  </si>
  <si>
    <r>
      <rPr>
        <sz val="9"/>
        <rFont val="Arial"/>
        <family val="2"/>
      </rPr>
      <t>Coffee</t>
    </r>
  </si>
  <si>
    <r>
      <rPr>
        <sz val="9"/>
        <rFont val="Arial"/>
        <family val="2"/>
      </rPr>
      <t>Palm Oil</t>
    </r>
  </si>
  <si>
    <r>
      <rPr>
        <sz val="9"/>
        <rFont val="Arial"/>
        <family val="2"/>
      </rPr>
      <t>Rubber</t>
    </r>
  </si>
  <si>
    <r>
      <rPr>
        <sz val="9"/>
        <rFont val="Arial"/>
        <family val="2"/>
      </rPr>
      <t>Tea</t>
    </r>
  </si>
  <si>
    <r>
      <rPr>
        <sz val="9"/>
        <rFont val="Arial"/>
        <family val="2"/>
      </rPr>
      <t>Copra Oil</t>
    </r>
  </si>
  <si>
    <r>
      <rPr>
        <sz val="9"/>
        <rFont val="Arial"/>
        <family val="2"/>
      </rPr>
      <t>Logs (K/m³)</t>
    </r>
  </si>
  <si>
    <r>
      <rPr>
        <b/>
        <sz val="9"/>
        <rFont val="Arial"/>
        <family val="2"/>
      </rPr>
      <t>MINERALS</t>
    </r>
  </si>
  <si>
    <r>
      <rPr>
        <sz val="9"/>
        <rFont val="Arial"/>
        <family val="2"/>
      </rPr>
      <t>Gold (US$/oz)</t>
    </r>
  </si>
  <si>
    <r>
      <rPr>
        <sz val="9"/>
        <rFont val="Arial"/>
        <family val="2"/>
      </rPr>
      <t>Copper (US$/ton)</t>
    </r>
  </si>
  <si>
    <r>
      <rPr>
        <sz val="9"/>
        <rFont val="Arial"/>
        <family val="2"/>
      </rPr>
      <t>Oil (Kutubu Crude: US$/barrel)</t>
    </r>
  </si>
  <si>
    <r>
      <rPr>
        <sz val="9"/>
        <rFont val="Arial"/>
        <family val="2"/>
      </rPr>
      <t>LNG (US$ per thousand cubic feet)</t>
    </r>
  </si>
  <si>
    <r>
      <rPr>
        <sz val="9"/>
        <rFont val="Arial"/>
        <family val="2"/>
      </rPr>
      <t>Nickel (US$/tonne)</t>
    </r>
  </si>
  <si>
    <r>
      <rPr>
        <sz val="9"/>
        <rFont val="Arial"/>
        <family val="2"/>
      </rPr>
      <t>Cobalt (US$/tonne)</t>
    </r>
  </si>
  <si>
    <r>
      <rPr>
        <sz val="9"/>
        <rFont val="Arial"/>
        <family val="2"/>
      </rPr>
      <t>Source: Actuals from BPNG. Projections from Consensus forecasts and Dept. of Treasury.</t>
    </r>
  </si>
  <si>
    <t>Change in prices 2016</t>
  </si>
  <si>
    <r>
      <rPr>
        <b/>
        <sz val="9"/>
        <rFont val="Arial"/>
        <family val="2"/>
      </rPr>
      <t>TABLE 5: VALUE OF MAIN EXPORT COMMODITIES</t>
    </r>
  </si>
  <si>
    <r>
      <rPr>
        <b/>
        <sz val="9"/>
        <rFont val="Arial"/>
        <family val="2"/>
      </rPr>
      <t>(Kina Million)</t>
    </r>
  </si>
  <si>
    <r>
      <rPr>
        <b/>
        <sz val="9"/>
        <rFont val="Arial"/>
        <family val="2"/>
      </rPr>
      <t>AGRICULTURE, FORESTRY, FISHERIES</t>
    </r>
  </si>
  <si>
    <r>
      <rPr>
        <sz val="9"/>
        <rFont val="Arial"/>
        <family val="2"/>
      </rPr>
      <t>Other Agriculture (a)</t>
    </r>
  </si>
  <si>
    <r>
      <rPr>
        <sz val="9"/>
        <rFont val="Arial"/>
        <family val="2"/>
      </rPr>
      <t>Forest Products</t>
    </r>
  </si>
  <si>
    <r>
      <rPr>
        <sz val="9"/>
        <rFont val="Arial"/>
        <family val="2"/>
      </rPr>
      <t>Marine Products</t>
    </r>
  </si>
  <si>
    <r>
      <rPr>
        <b/>
        <sz val="9"/>
        <rFont val="Arial"/>
        <family val="2"/>
      </rPr>
      <t xml:space="preserve">Total Agricultural, Forestry, Fishing
</t>
    </r>
    <r>
      <rPr>
        <b/>
        <sz val="9"/>
        <rFont val="Arial"/>
        <family val="2"/>
      </rPr>
      <t>Exports</t>
    </r>
  </si>
  <si>
    <r>
      <rPr>
        <b/>
        <sz val="9"/>
        <rFont val="Arial"/>
        <family val="2"/>
      </rPr>
      <t>MINERAL</t>
    </r>
  </si>
  <si>
    <r>
      <rPr>
        <sz val="9"/>
        <rFont val="Arial"/>
        <family val="2"/>
      </rPr>
      <t>Gold</t>
    </r>
  </si>
  <si>
    <r>
      <rPr>
        <sz val="9"/>
        <rFont val="Arial"/>
        <family val="2"/>
      </rPr>
      <t>Copper</t>
    </r>
  </si>
  <si>
    <r>
      <rPr>
        <sz val="9"/>
        <rFont val="Arial"/>
        <family val="2"/>
      </rPr>
      <t>Silver</t>
    </r>
  </si>
  <si>
    <r>
      <rPr>
        <sz val="9"/>
        <rFont val="Arial"/>
        <family val="2"/>
      </rPr>
      <t>Oil</t>
    </r>
  </si>
  <si>
    <r>
      <rPr>
        <sz val="9"/>
        <rFont val="Arial"/>
        <family val="2"/>
      </rPr>
      <t>LNG</t>
    </r>
  </si>
  <si>
    <r>
      <rPr>
        <sz val="9"/>
        <rFont val="Arial"/>
        <family val="2"/>
      </rPr>
      <t>Condensate</t>
    </r>
  </si>
  <si>
    <r>
      <rPr>
        <sz val="9"/>
        <rFont val="Arial"/>
        <family val="2"/>
      </rPr>
      <t>Nickel</t>
    </r>
  </si>
  <si>
    <r>
      <rPr>
        <sz val="9"/>
        <rFont val="Arial"/>
        <family val="2"/>
      </rPr>
      <t>Cobalt</t>
    </r>
  </si>
  <si>
    <r>
      <rPr>
        <sz val="9"/>
        <rFont val="Arial"/>
        <family val="2"/>
      </rPr>
      <t>Refined Petroleum Products</t>
    </r>
  </si>
  <si>
    <r>
      <rPr>
        <b/>
        <sz val="9"/>
        <rFont val="Arial"/>
        <family val="2"/>
      </rPr>
      <t>Total Mineral Exports</t>
    </r>
  </si>
  <si>
    <r>
      <rPr>
        <b/>
        <sz val="9"/>
        <rFont val="Arial"/>
        <family val="2"/>
      </rPr>
      <t>TOTAL EXPORT VALUE</t>
    </r>
  </si>
  <si>
    <r>
      <rPr>
        <sz val="9"/>
        <rFont val="Arial"/>
        <family val="2"/>
      </rPr>
      <t>Source: Actuals from BPNG. Projections from Dept. of Treasury.</t>
    </r>
  </si>
  <si>
    <r>
      <rPr>
        <sz val="9"/>
        <rFont val="Arial"/>
        <family val="2"/>
      </rPr>
      <t>(a) Includes Oil Palm by-products, canned tuna and vanilla.</t>
    </r>
  </si>
  <si>
    <t>Weight of exports</t>
  </si>
  <si>
    <t>Weighted deflator</t>
  </si>
  <si>
    <t>Non-resource GDP</t>
  </si>
  <si>
    <t>Treasury growth rates 2014 and 2015</t>
  </si>
  <si>
    <t>NSO growth rates 2014 and 2015</t>
  </si>
  <si>
    <t>Information from text of December 2015 Economic Bulletin</t>
  </si>
  <si>
    <t>Date from the Bank's Business Liaison Survey</t>
  </si>
  <si>
    <t>Data to year to September 2015</t>
  </si>
  <si>
    <t>Nominal value of sales in the private sector</t>
  </si>
  <si>
    <t>Sectors</t>
  </si>
  <si>
    <t>Total</t>
  </si>
  <si>
    <t>Sept quarter</t>
  </si>
  <si>
    <t>Year to Sept 15</t>
  </si>
  <si>
    <t>Total excluding minerals</t>
  </si>
  <si>
    <t>Retail</t>
  </si>
  <si>
    <t>Wholesale</t>
  </si>
  <si>
    <t>Southern</t>
  </si>
  <si>
    <t>NCD</t>
  </si>
  <si>
    <t>Islands</t>
  </si>
  <si>
    <t>Momose</t>
  </si>
  <si>
    <t>Morobe</t>
  </si>
  <si>
    <t>Highlands</t>
  </si>
  <si>
    <t>Domestic Economic Conditions (pp8-10)</t>
  </si>
  <si>
    <t>Non-resource GDP estimates - from NSO and BPNG.</t>
  </si>
  <si>
    <t>BPNG figures - sectors shares of GDP</t>
  </si>
  <si>
    <t>Agriculture, forestry and fishing</t>
  </si>
  <si>
    <t>Resources includes mining, gas and petroleum</t>
  </si>
  <si>
    <t>Total GDP</t>
  </si>
  <si>
    <t>Resource</t>
  </si>
  <si>
    <t>Nominal Growth 2013 to 2015</t>
  </si>
  <si>
    <t>BPNG using 2015 GDP number and sector shares K bn</t>
  </si>
  <si>
    <t>NSO sector K bn</t>
  </si>
  <si>
    <t>CPI of 5.2% in 2014 and 6.0% in 2015</t>
  </si>
  <si>
    <t>Total Real Growth Rate over 2014 and 2015 (nominal less inflation)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</si>
</sst>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%"/>
    <numFmt numFmtId="165" formatCode="0.0"/>
    <numFmt numFmtId="166" formatCode="0.00000"/>
    <numFmt numFmtId="167" formatCode="0.0000"/>
    <numFmt numFmtId="171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rgb="FF000000"/>
      <name val="Calibri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9" fontId="0" fillId="0" borderId="0" xfId="1" applyFont="1"/>
    <xf numFmtId="9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0" fontId="2" fillId="0" borderId="0" xfId="2" applyFill="1" applyBorder="1" applyAlignment="1">
      <alignment horizontal="left" vertical="top"/>
    </xf>
    <xf numFmtId="0" fontId="2" fillId="0" borderId="0" xfId="2" applyFill="1" applyBorder="1" applyAlignment="1">
      <alignment horizontal="left" vertical="top" wrapText="1"/>
    </xf>
    <xf numFmtId="0" fontId="2" fillId="0" borderId="1" xfId="2" applyFill="1" applyBorder="1" applyAlignment="1">
      <alignment horizontal="left" vertical="top" wrapText="1"/>
    </xf>
    <xf numFmtId="0" fontId="2" fillId="0" borderId="2" xfId="2" applyFill="1" applyBorder="1" applyAlignment="1">
      <alignment horizontal="left" vertical="top" wrapText="1"/>
    </xf>
    <xf numFmtId="0" fontId="2" fillId="0" borderId="1" xfId="2" applyFill="1" applyBorder="1" applyAlignment="1">
      <alignment horizontal="left" vertical="top" wrapText="1" indent="2"/>
    </xf>
    <xf numFmtId="0" fontId="2" fillId="0" borderId="1" xfId="2" applyFill="1" applyBorder="1" applyAlignment="1">
      <alignment horizontal="center" vertical="top" wrapText="1"/>
    </xf>
    <xf numFmtId="0" fontId="8" fillId="0" borderId="0" xfId="2" applyFont="1" applyFill="1" applyBorder="1" applyAlignment="1">
      <alignment horizontal="left" vertical="top"/>
    </xf>
    <xf numFmtId="0" fontId="9" fillId="0" borderId="2" xfId="2" applyFont="1" applyFill="1" applyBorder="1" applyAlignment="1">
      <alignment horizontal="left" vertical="top" wrapText="1"/>
    </xf>
    <xf numFmtId="0" fontId="9" fillId="0" borderId="0" xfId="2" applyFont="1" applyFill="1" applyBorder="1" applyAlignment="1">
      <alignment horizontal="left" vertical="top" wrapText="1"/>
    </xf>
    <xf numFmtId="165" fontId="10" fillId="0" borderId="0" xfId="2" applyNumberFormat="1" applyFont="1" applyFill="1" applyBorder="1" applyAlignment="1">
      <alignment horizontal="right" vertical="top" wrapText="1" indent="1"/>
    </xf>
    <xf numFmtId="165" fontId="10" fillId="0" borderId="0" xfId="2" applyNumberFormat="1" applyFont="1" applyFill="1" applyBorder="1" applyAlignment="1">
      <alignment horizontal="right" vertical="top" wrapText="1"/>
    </xf>
    <xf numFmtId="0" fontId="8" fillId="0" borderId="0" xfId="2" applyFont="1" applyFill="1" applyBorder="1" applyAlignment="1">
      <alignment horizontal="left" vertical="top" wrapText="1"/>
    </xf>
    <xf numFmtId="0" fontId="9" fillId="0" borderId="3" xfId="2" applyFont="1" applyFill="1" applyBorder="1" applyAlignment="1">
      <alignment horizontal="left" vertical="top" wrapText="1"/>
    </xf>
    <xf numFmtId="165" fontId="10" fillId="0" borderId="3" xfId="2" applyNumberFormat="1" applyFont="1" applyFill="1" applyBorder="1" applyAlignment="1">
      <alignment horizontal="right" vertical="top" wrapText="1" indent="1"/>
    </xf>
    <xf numFmtId="165" fontId="10" fillId="0" borderId="3" xfId="2" applyNumberFormat="1" applyFont="1" applyFill="1" applyBorder="1" applyAlignment="1">
      <alignment horizontal="right" vertical="top" wrapText="1"/>
    </xf>
    <xf numFmtId="0" fontId="6" fillId="0" borderId="2" xfId="2" applyFont="1" applyFill="1" applyBorder="1" applyAlignment="1">
      <alignment horizontal="left" vertical="center" wrapText="1"/>
    </xf>
    <xf numFmtId="164" fontId="0" fillId="2" borderId="0" xfId="1" applyNumberFormat="1" applyFont="1" applyFill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4" xfId="0" applyBorder="1"/>
    <xf numFmtId="9" fontId="0" fillId="0" borderId="4" xfId="0" applyNumberFormat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2" borderId="4" xfId="1" applyNumberFormat="1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4" fillId="0" borderId="2" xfId="2" applyFont="1" applyFill="1" applyBorder="1" applyAlignment="1">
      <alignment horizontal="left" vertical="top" wrapText="1"/>
    </xf>
    <xf numFmtId="1" fontId="7" fillId="0" borderId="0" xfId="2" applyNumberFormat="1" applyFont="1" applyFill="1" applyBorder="1" applyAlignment="1">
      <alignment horizontal="right" vertical="top" wrapText="1"/>
    </xf>
    <xf numFmtId="0" fontId="4" fillId="0" borderId="3" xfId="2" applyFont="1" applyFill="1" applyBorder="1" applyAlignment="1">
      <alignment horizontal="left" vertical="top" wrapText="1"/>
    </xf>
    <xf numFmtId="1" fontId="7" fillId="0" borderId="3" xfId="2" applyNumberFormat="1" applyFont="1" applyFill="1" applyBorder="1" applyAlignment="1">
      <alignment horizontal="right" vertical="top" wrapText="1"/>
    </xf>
    <xf numFmtId="0" fontId="4" fillId="0" borderId="2" xfId="2" applyFont="1" applyFill="1" applyBorder="1" applyAlignment="1">
      <alignment horizontal="left" vertical="center" wrapText="1"/>
    </xf>
    <xf numFmtId="0" fontId="2" fillId="0" borderId="0" xfId="2" applyFill="1" applyBorder="1" applyAlignment="1">
      <alignment horizontal="left" vertical="top" wrapText="1"/>
    </xf>
    <xf numFmtId="0" fontId="2" fillId="0" borderId="2" xfId="2" applyFill="1" applyBorder="1" applyAlignment="1">
      <alignment horizontal="left" vertical="top" wrapText="1"/>
    </xf>
    <xf numFmtId="0" fontId="2" fillId="0" borderId="3" xfId="2" applyFill="1" applyBorder="1" applyAlignment="1">
      <alignment horizontal="left" vertical="top" wrapText="1"/>
    </xf>
    <xf numFmtId="165" fontId="7" fillId="0" borderId="0" xfId="2" applyNumberFormat="1" applyFont="1" applyFill="1" applyBorder="1" applyAlignment="1">
      <alignment horizontal="right" vertical="top" wrapText="1"/>
    </xf>
    <xf numFmtId="0" fontId="4" fillId="0" borderId="0" xfId="2" applyFont="1" applyFill="1" applyBorder="1" applyAlignment="1">
      <alignment horizontal="left" vertical="top" wrapText="1"/>
    </xf>
    <xf numFmtId="0" fontId="3" fillId="0" borderId="0" xfId="2" applyFont="1" applyFill="1" applyBorder="1" applyAlignment="1">
      <alignment horizontal="left" vertical="top" wrapText="1"/>
    </xf>
    <xf numFmtId="0" fontId="3" fillId="0" borderId="3" xfId="2" applyFont="1" applyFill="1" applyBorder="1" applyAlignment="1">
      <alignment horizontal="left" vertical="top" wrapText="1"/>
    </xf>
    <xf numFmtId="1" fontId="5" fillId="0" borderId="2" xfId="2" applyNumberFormat="1" applyFont="1" applyFill="1" applyBorder="1" applyAlignment="1">
      <alignment horizontal="right" vertical="top" wrapText="1"/>
    </xf>
    <xf numFmtId="0" fontId="3" fillId="0" borderId="3" xfId="2" applyFont="1" applyFill="1" applyBorder="1" applyAlignment="1">
      <alignment horizontal="right" vertical="top" wrapText="1"/>
    </xf>
    <xf numFmtId="0" fontId="3" fillId="0" borderId="2" xfId="2" applyFont="1" applyFill="1" applyBorder="1" applyAlignment="1">
      <alignment horizontal="left" vertical="center" wrapText="1"/>
    </xf>
    <xf numFmtId="165" fontId="5" fillId="0" borderId="0" xfId="2" applyNumberFormat="1" applyFont="1" applyFill="1" applyBorder="1" applyAlignment="1">
      <alignment horizontal="right" vertical="top" wrapText="1"/>
    </xf>
    <xf numFmtId="165" fontId="5" fillId="0" borderId="3" xfId="2" applyNumberFormat="1" applyFont="1" applyFill="1" applyBorder="1" applyAlignment="1">
      <alignment horizontal="right" vertical="top" wrapText="1"/>
    </xf>
    <xf numFmtId="166" fontId="4" fillId="0" borderId="0" xfId="2" applyNumberFormat="1" applyFont="1" applyFill="1" applyBorder="1" applyAlignment="1">
      <alignment horizontal="left" vertical="top" wrapText="1"/>
    </xf>
    <xf numFmtId="164" fontId="4" fillId="2" borderId="0" xfId="1" applyNumberFormat="1" applyFont="1" applyFill="1" applyBorder="1" applyAlignment="1">
      <alignment horizontal="left" vertical="top" wrapText="1"/>
    </xf>
    <xf numFmtId="171" fontId="0" fillId="0" borderId="0" xfId="5" applyNumberFormat="1" applyFont="1"/>
    <xf numFmtId="171" fontId="0" fillId="0" borderId="0" xfId="0" applyNumberFormat="1"/>
    <xf numFmtId="164" fontId="0" fillId="0" borderId="4" xfId="1" applyNumberFormat="1" applyFont="1" applyBorder="1"/>
    <xf numFmtId="165" fontId="0" fillId="0" borderId="4" xfId="0" applyNumberFormat="1" applyBorder="1"/>
    <xf numFmtId="164" fontId="0" fillId="0" borderId="4" xfId="0" applyNumberFormat="1" applyBorder="1"/>
    <xf numFmtId="164" fontId="0" fillId="3" borderId="4" xfId="0" applyNumberFormat="1" applyFill="1" applyBorder="1"/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43" fontId="0" fillId="0" borderId="4" xfId="5" applyFont="1" applyBorder="1"/>
  </cellXfs>
  <cellStyles count="6">
    <cellStyle name="Comma" xfId="5" builtinId="3"/>
    <cellStyle name="Comma 2" xfId="3"/>
    <cellStyle name="Normal" xfId="0" builtinId="0"/>
    <cellStyle name="Normal 2" xfId="2"/>
    <cellStyle name="Percent" xfId="1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148"/>
  <sheetViews>
    <sheetView topLeftCell="A25" zoomScale="130" zoomScaleNormal="130" workbookViewId="0">
      <selection activeCell="L49" sqref="L49:P49"/>
    </sheetView>
  </sheetViews>
  <sheetFormatPr defaultRowHeight="15" x14ac:dyDescent="0.25"/>
  <cols>
    <col min="14" max="14" width="12" bestFit="1" customWidth="1"/>
    <col min="21" max="21" width="20.85546875" customWidth="1"/>
  </cols>
  <sheetData>
    <row r="3" spans="2:28" x14ac:dyDescent="0.25">
      <c r="B3" t="s">
        <v>11</v>
      </c>
      <c r="D3">
        <v>2006</v>
      </c>
      <c r="E3">
        <v>2007</v>
      </c>
      <c r="F3">
        <v>2008</v>
      </c>
      <c r="G3">
        <v>2009</v>
      </c>
      <c r="H3">
        <v>2010</v>
      </c>
      <c r="I3">
        <v>2011</v>
      </c>
      <c r="J3">
        <v>2012</v>
      </c>
      <c r="K3">
        <v>2013</v>
      </c>
      <c r="L3">
        <v>2014</v>
      </c>
      <c r="M3">
        <v>2015</v>
      </c>
      <c r="N3">
        <v>2016</v>
      </c>
      <c r="O3">
        <v>2017</v>
      </c>
      <c r="P3">
        <v>2018</v>
      </c>
      <c r="Q3">
        <v>2019</v>
      </c>
      <c r="R3">
        <v>2020</v>
      </c>
      <c r="U3" s="11" t="s">
        <v>13</v>
      </c>
      <c r="V3" s="5"/>
      <c r="W3" s="5"/>
      <c r="X3" s="5"/>
      <c r="Y3" s="5"/>
      <c r="Z3" s="5"/>
      <c r="AA3" s="5"/>
      <c r="AB3" s="5"/>
    </row>
    <row r="4" spans="2:28" x14ac:dyDescent="0.25">
      <c r="B4" t="s">
        <v>0</v>
      </c>
      <c r="D4">
        <v>5327.3</v>
      </c>
      <c r="E4">
        <v>5901.7</v>
      </c>
      <c r="F4">
        <v>6916.7</v>
      </c>
      <c r="G4">
        <v>7207.9</v>
      </c>
      <c r="H4">
        <v>8106.9</v>
      </c>
      <c r="I4">
        <v>9376.5</v>
      </c>
      <c r="J4">
        <v>8965.7000000000007</v>
      </c>
      <c r="K4">
        <v>9217.1</v>
      </c>
      <c r="L4" s="4">
        <f>+V7</f>
        <v>10184.4</v>
      </c>
      <c r="M4" s="4">
        <f t="shared" ref="M4:R4" si="0">+W7</f>
        <v>10728.7</v>
      </c>
      <c r="N4" s="4">
        <f t="shared" si="0"/>
        <v>11679.1</v>
      </c>
      <c r="O4" s="4">
        <f t="shared" si="0"/>
        <v>12605.4</v>
      </c>
      <c r="P4" s="4">
        <f t="shared" si="0"/>
        <v>13550</v>
      </c>
      <c r="Q4" s="4">
        <f t="shared" si="0"/>
        <v>14511.9</v>
      </c>
      <c r="R4" s="4">
        <f t="shared" si="0"/>
        <v>15572.3</v>
      </c>
      <c r="U4" s="11" t="s">
        <v>14</v>
      </c>
      <c r="V4" s="5"/>
      <c r="W4" s="5"/>
      <c r="X4" s="5"/>
      <c r="Y4" s="5"/>
      <c r="Z4" s="5"/>
      <c r="AA4" s="5"/>
      <c r="AB4" s="5"/>
    </row>
    <row r="5" spans="2:28" ht="18" x14ac:dyDescent="0.25">
      <c r="B5" t="s">
        <v>1</v>
      </c>
      <c r="D5">
        <v>2773.2</v>
      </c>
      <c r="E5">
        <v>3022.2</v>
      </c>
      <c r="F5">
        <v>3136.1</v>
      </c>
      <c r="G5">
        <v>3038</v>
      </c>
      <c r="H5">
        <v>3937.8</v>
      </c>
      <c r="I5">
        <v>3806.3</v>
      </c>
      <c r="J5">
        <v>3275.2</v>
      </c>
      <c r="K5">
        <v>3371.5</v>
      </c>
      <c r="L5" s="4">
        <f>+V17</f>
        <v>3119.1</v>
      </c>
      <c r="M5" s="4">
        <f t="shared" ref="M5:R5" si="1">+W17</f>
        <v>2924.2</v>
      </c>
      <c r="N5" s="4">
        <f t="shared" si="1"/>
        <v>3139.2</v>
      </c>
      <c r="O5" s="4">
        <f t="shared" si="1"/>
        <v>3528.4</v>
      </c>
      <c r="P5" s="4">
        <f t="shared" si="1"/>
        <v>3735</v>
      </c>
      <c r="Q5" s="4">
        <f t="shared" si="1"/>
        <v>3817.2</v>
      </c>
      <c r="R5" s="4">
        <f t="shared" si="1"/>
        <v>3905.6</v>
      </c>
      <c r="U5" s="7"/>
      <c r="V5" s="10" t="s">
        <v>15</v>
      </c>
      <c r="W5" s="10" t="s">
        <v>16</v>
      </c>
      <c r="X5" s="9" t="s">
        <v>17</v>
      </c>
      <c r="Y5" s="9" t="s">
        <v>18</v>
      </c>
      <c r="Z5" s="9" t="s">
        <v>19</v>
      </c>
      <c r="AA5" s="9" t="s">
        <v>20</v>
      </c>
      <c r="AB5" s="9" t="s">
        <v>21</v>
      </c>
    </row>
    <row r="6" spans="2:28" ht="27" x14ac:dyDescent="0.25">
      <c r="B6" t="s">
        <v>2</v>
      </c>
      <c r="D6">
        <v>2269.5</v>
      </c>
      <c r="E6">
        <v>2418.6999999999998</v>
      </c>
      <c r="F6">
        <v>2758.8</v>
      </c>
      <c r="G6">
        <v>1676.9</v>
      </c>
      <c r="H6">
        <v>1979</v>
      </c>
      <c r="I6">
        <v>1862.6</v>
      </c>
      <c r="J6">
        <v>1320.4</v>
      </c>
      <c r="K6">
        <v>1322.3</v>
      </c>
      <c r="L6" s="4">
        <f>+V12</f>
        <v>8405.2000000000007</v>
      </c>
      <c r="M6" s="4">
        <f t="shared" ref="M6:R6" si="2">+W12</f>
        <v>14169</v>
      </c>
      <c r="N6" s="4">
        <f t="shared" si="2"/>
        <v>15009.2</v>
      </c>
      <c r="O6" s="4">
        <f t="shared" si="2"/>
        <v>14928.2</v>
      </c>
      <c r="P6" s="4">
        <f t="shared" si="2"/>
        <v>14160.5</v>
      </c>
      <c r="Q6" s="4">
        <f t="shared" si="2"/>
        <v>14074.6</v>
      </c>
      <c r="R6" s="4">
        <f t="shared" si="2"/>
        <v>14019</v>
      </c>
      <c r="U6" s="12" t="s">
        <v>22</v>
      </c>
      <c r="V6" s="8"/>
      <c r="W6" s="8"/>
      <c r="X6" s="8"/>
      <c r="Y6" s="8"/>
      <c r="Z6" s="8"/>
      <c r="AA6" s="8"/>
      <c r="AB6" s="8"/>
    </row>
    <row r="7" spans="2:28" x14ac:dyDescent="0.25">
      <c r="B7" t="s">
        <v>3</v>
      </c>
      <c r="D7">
        <v>974.7</v>
      </c>
      <c r="E7">
        <v>1064.2</v>
      </c>
      <c r="F7">
        <v>1247.5999999999999</v>
      </c>
      <c r="G7">
        <v>1328.8</v>
      </c>
      <c r="H7">
        <v>1613.3</v>
      </c>
      <c r="I7">
        <v>1978</v>
      </c>
      <c r="J7">
        <v>2296</v>
      </c>
      <c r="K7">
        <v>2471.1</v>
      </c>
      <c r="L7" s="4">
        <f>+V22</f>
        <v>2679</v>
      </c>
      <c r="M7" s="4">
        <f t="shared" ref="M7:R7" si="3">+W22</f>
        <v>2886.2</v>
      </c>
      <c r="N7" s="4">
        <f t="shared" si="3"/>
        <v>3173.5</v>
      </c>
      <c r="O7" s="4">
        <f t="shared" si="3"/>
        <v>3465.3</v>
      </c>
      <c r="P7" s="4">
        <f t="shared" si="3"/>
        <v>3785.6</v>
      </c>
      <c r="Q7" s="4">
        <f t="shared" si="3"/>
        <v>4134</v>
      </c>
      <c r="R7" s="4">
        <f t="shared" si="3"/>
        <v>4514.8999999999996</v>
      </c>
      <c r="U7" s="13" t="s">
        <v>23</v>
      </c>
      <c r="V7" s="14">
        <v>10184.4</v>
      </c>
      <c r="W7" s="14">
        <v>10728.7</v>
      </c>
      <c r="X7" s="14">
        <v>11679.1</v>
      </c>
      <c r="Y7" s="14">
        <v>12605.4</v>
      </c>
      <c r="Z7" s="14">
        <v>13550</v>
      </c>
      <c r="AA7" s="14">
        <v>14511.9</v>
      </c>
      <c r="AB7" s="15">
        <v>15572.3</v>
      </c>
    </row>
    <row r="8" spans="2:28" x14ac:dyDescent="0.25">
      <c r="B8" t="s">
        <v>4</v>
      </c>
      <c r="D8">
        <v>337.7</v>
      </c>
      <c r="E8">
        <v>361.8</v>
      </c>
      <c r="F8">
        <v>404.1</v>
      </c>
      <c r="G8">
        <v>461.7</v>
      </c>
      <c r="H8">
        <v>538</v>
      </c>
      <c r="I8">
        <v>639.20000000000005</v>
      </c>
      <c r="J8">
        <v>715.4</v>
      </c>
      <c r="K8">
        <v>810.9</v>
      </c>
      <c r="L8" s="4">
        <f>+V27</f>
        <v>896</v>
      </c>
      <c r="M8" s="4">
        <f t="shared" ref="M8:R8" si="4">+W27</f>
        <v>998.3</v>
      </c>
      <c r="N8" s="4">
        <f t="shared" si="4"/>
        <v>1108.2</v>
      </c>
      <c r="O8" s="4">
        <f t="shared" si="4"/>
        <v>1210.0999999999999</v>
      </c>
      <c r="P8" s="4">
        <f t="shared" si="4"/>
        <v>1321.9</v>
      </c>
      <c r="Q8" s="4">
        <f t="shared" si="4"/>
        <v>1443.6</v>
      </c>
      <c r="R8" s="4">
        <f t="shared" si="4"/>
        <v>1576.6</v>
      </c>
      <c r="U8" s="13" t="s">
        <v>24</v>
      </c>
      <c r="V8" s="14">
        <v>245.6</v>
      </c>
      <c r="W8" s="14">
        <v>253.3</v>
      </c>
      <c r="X8" s="14">
        <v>265.8</v>
      </c>
      <c r="Y8" s="14">
        <v>277.5</v>
      </c>
      <c r="Z8" s="14">
        <v>287.8</v>
      </c>
      <c r="AA8" s="14">
        <v>296.2</v>
      </c>
      <c r="AB8" s="15">
        <v>308</v>
      </c>
    </row>
    <row r="9" spans="2:28" x14ac:dyDescent="0.25">
      <c r="B9" t="s">
        <v>5</v>
      </c>
      <c r="D9">
        <v>1437.2</v>
      </c>
      <c r="E9">
        <v>1750.3</v>
      </c>
      <c r="F9">
        <v>2226.1999999999998</v>
      </c>
      <c r="G9">
        <v>2912.3</v>
      </c>
      <c r="H9">
        <v>3632</v>
      </c>
      <c r="I9">
        <v>4965.3</v>
      </c>
      <c r="J9">
        <v>6380.8</v>
      </c>
      <c r="K9">
        <v>7427.2</v>
      </c>
      <c r="L9" s="4">
        <f>+V32</f>
        <v>7246.7</v>
      </c>
      <c r="M9" s="4">
        <f t="shared" ref="M9:R9" si="5">+W32</f>
        <v>7731.1</v>
      </c>
      <c r="N9" s="4">
        <f t="shared" si="5"/>
        <v>8419.1</v>
      </c>
      <c r="O9" s="4">
        <f t="shared" si="5"/>
        <v>9148.9</v>
      </c>
      <c r="P9" s="4">
        <f t="shared" si="5"/>
        <v>9898.5</v>
      </c>
      <c r="Q9" s="4">
        <f t="shared" si="5"/>
        <v>10705.5</v>
      </c>
      <c r="R9" s="4">
        <f t="shared" si="5"/>
        <v>11579.4</v>
      </c>
      <c r="U9" s="13" t="s">
        <v>25</v>
      </c>
      <c r="V9" s="14">
        <v>4146</v>
      </c>
      <c r="W9" s="14">
        <v>4234.8999999999996</v>
      </c>
      <c r="X9" s="14">
        <v>4393.8999999999996</v>
      </c>
      <c r="Y9" s="14">
        <v>4542.7</v>
      </c>
      <c r="Z9" s="14">
        <v>4708.5</v>
      </c>
      <c r="AA9" s="14">
        <v>4899</v>
      </c>
      <c r="AB9" s="15">
        <v>5055.5</v>
      </c>
    </row>
    <row r="10" spans="2:28" ht="18" x14ac:dyDescent="0.25">
      <c r="B10" t="s">
        <v>6</v>
      </c>
      <c r="D10">
        <v>1039</v>
      </c>
      <c r="E10">
        <v>1177.3</v>
      </c>
      <c r="F10">
        <v>1393.3</v>
      </c>
      <c r="G10">
        <v>1621.8</v>
      </c>
      <c r="H10">
        <v>1944.8</v>
      </c>
      <c r="I10">
        <v>2489.9</v>
      </c>
      <c r="J10">
        <v>3096.5</v>
      </c>
      <c r="K10">
        <v>3381.1</v>
      </c>
      <c r="L10" s="4">
        <f>+V37</f>
        <v>3665.4</v>
      </c>
      <c r="M10" s="4">
        <f t="shared" ref="M10:R10" si="6">+W37</f>
        <v>3949</v>
      </c>
      <c r="N10" s="4">
        <f t="shared" si="6"/>
        <v>4300.3999999999996</v>
      </c>
      <c r="O10" s="4">
        <f t="shared" si="6"/>
        <v>4740.8999999999996</v>
      </c>
      <c r="P10" s="4">
        <f t="shared" si="6"/>
        <v>5204</v>
      </c>
      <c r="Q10" s="4">
        <f t="shared" si="6"/>
        <v>5682.9</v>
      </c>
      <c r="R10" s="4">
        <f t="shared" si="6"/>
        <v>6206.5</v>
      </c>
      <c r="U10" s="13" t="s">
        <v>26</v>
      </c>
      <c r="V10" s="14">
        <v>3.3</v>
      </c>
      <c r="W10" s="14">
        <v>2.1</v>
      </c>
      <c r="X10" s="14">
        <v>3.8</v>
      </c>
      <c r="Y10" s="14">
        <v>3.4</v>
      </c>
      <c r="Z10" s="14">
        <v>3.6</v>
      </c>
      <c r="AA10" s="14">
        <v>4</v>
      </c>
      <c r="AB10" s="15">
        <v>3.2</v>
      </c>
    </row>
    <row r="11" spans="2:28" ht="18" x14ac:dyDescent="0.25">
      <c r="B11" t="s">
        <v>7</v>
      </c>
      <c r="D11">
        <v>326.2</v>
      </c>
      <c r="E11">
        <v>364.2</v>
      </c>
      <c r="F11">
        <v>440.3</v>
      </c>
      <c r="G11">
        <v>603.70000000000005</v>
      </c>
      <c r="H11">
        <v>772.2</v>
      </c>
      <c r="I11">
        <v>971.9</v>
      </c>
      <c r="J11">
        <v>1168.4000000000001</v>
      </c>
      <c r="K11">
        <v>1258.7</v>
      </c>
      <c r="L11" s="4">
        <f>+V42</f>
        <v>1364.6</v>
      </c>
      <c r="M11" s="4">
        <f t="shared" ref="M11:R11" si="7">+W42</f>
        <v>1506</v>
      </c>
      <c r="N11" s="4">
        <f t="shared" si="7"/>
        <v>1655.9</v>
      </c>
      <c r="O11" s="4">
        <f t="shared" si="7"/>
        <v>1808.2</v>
      </c>
      <c r="P11" s="4">
        <f t="shared" si="7"/>
        <v>1984.8</v>
      </c>
      <c r="Q11" s="4">
        <f t="shared" si="7"/>
        <v>2167.5</v>
      </c>
      <c r="R11" s="4">
        <f t="shared" si="7"/>
        <v>2367.1999999999998</v>
      </c>
      <c r="U11" s="13" t="s">
        <v>27</v>
      </c>
      <c r="V11" s="6"/>
      <c r="W11" s="6"/>
      <c r="X11" s="6"/>
      <c r="Y11" s="6"/>
      <c r="Z11" s="6"/>
      <c r="AA11" s="6"/>
      <c r="AB11" s="6"/>
    </row>
    <row r="12" spans="2:28" x14ac:dyDescent="0.25">
      <c r="B12" t="s">
        <v>8</v>
      </c>
      <c r="D12">
        <v>579.4</v>
      </c>
      <c r="E12">
        <v>638.6</v>
      </c>
      <c r="F12">
        <v>760</v>
      </c>
      <c r="G12">
        <v>933.1</v>
      </c>
      <c r="H12">
        <v>1084.2</v>
      </c>
      <c r="I12">
        <v>1411.6</v>
      </c>
      <c r="J12">
        <v>1609.2</v>
      </c>
      <c r="K12">
        <v>1773.8</v>
      </c>
      <c r="L12" s="4">
        <f>+V47</f>
        <v>1895.5</v>
      </c>
      <c r="M12" s="4">
        <f t="shared" ref="M12:R12" si="8">+W47</f>
        <v>2062.1</v>
      </c>
      <c r="N12" s="4">
        <f t="shared" si="8"/>
        <v>2245.6</v>
      </c>
      <c r="O12" s="4">
        <f t="shared" si="8"/>
        <v>2428.4</v>
      </c>
      <c r="P12" s="4">
        <f t="shared" si="8"/>
        <v>2652.9</v>
      </c>
      <c r="Q12" s="4">
        <f t="shared" si="8"/>
        <v>2852.5</v>
      </c>
      <c r="R12" s="4">
        <f t="shared" si="8"/>
        <v>3067.4</v>
      </c>
      <c r="U12" s="13" t="s">
        <v>23</v>
      </c>
      <c r="V12" s="14">
        <v>8405.2000000000007</v>
      </c>
      <c r="W12" s="14">
        <v>14169</v>
      </c>
      <c r="X12" s="14">
        <v>15009.2</v>
      </c>
      <c r="Y12" s="14">
        <v>14928.2</v>
      </c>
      <c r="Z12" s="14">
        <v>14160.5</v>
      </c>
      <c r="AA12" s="14">
        <v>14074.6</v>
      </c>
      <c r="AB12" s="15">
        <v>14019</v>
      </c>
    </row>
    <row r="13" spans="2:28" x14ac:dyDescent="0.25">
      <c r="B13" t="s">
        <v>9</v>
      </c>
      <c r="D13">
        <v>1526.8</v>
      </c>
      <c r="E13">
        <v>1635</v>
      </c>
      <c r="F13">
        <v>1818.8</v>
      </c>
      <c r="G13">
        <v>2010.1</v>
      </c>
      <c r="H13">
        <v>2211.4</v>
      </c>
      <c r="I13">
        <v>2519.3000000000002</v>
      </c>
      <c r="J13">
        <v>2665.7</v>
      </c>
      <c r="K13">
        <v>2938.4</v>
      </c>
      <c r="L13" s="4">
        <f>+V52</f>
        <v>3185.6</v>
      </c>
      <c r="M13" s="4">
        <f t="shared" ref="M13:R13" si="9">+W52</f>
        <v>3432</v>
      </c>
      <c r="N13" s="4">
        <f t="shared" si="9"/>
        <v>3755.5</v>
      </c>
      <c r="O13" s="4">
        <f t="shared" si="9"/>
        <v>4081.1</v>
      </c>
      <c r="P13" s="4">
        <f t="shared" si="9"/>
        <v>4436.8999999999996</v>
      </c>
      <c r="Q13" s="4">
        <f t="shared" si="9"/>
        <v>4821.8999999999996</v>
      </c>
      <c r="R13" s="4">
        <f t="shared" si="9"/>
        <v>5240.8</v>
      </c>
      <c r="U13" s="13" t="s">
        <v>24</v>
      </c>
      <c r="V13" s="14">
        <v>434.2</v>
      </c>
      <c r="W13" s="14">
        <v>436</v>
      </c>
      <c r="X13" s="14">
        <v>431.3</v>
      </c>
      <c r="Y13" s="14">
        <v>446.6</v>
      </c>
      <c r="Z13" s="14">
        <v>451.1</v>
      </c>
      <c r="AA13" s="14">
        <v>453.1</v>
      </c>
      <c r="AB13" s="15">
        <v>454.4</v>
      </c>
    </row>
    <row r="14" spans="2:28" x14ac:dyDescent="0.25">
      <c r="D14">
        <v>16591.000000000004</v>
      </c>
      <c r="E14">
        <v>18333.999999999996</v>
      </c>
      <c r="F14">
        <v>21101.899999999998</v>
      </c>
      <c r="G14">
        <v>21794.299999999996</v>
      </c>
      <c r="H14">
        <v>25819.600000000002</v>
      </c>
      <c r="I14">
        <v>30020.600000000002</v>
      </c>
      <c r="J14">
        <v>31493.300000000003</v>
      </c>
      <c r="K14">
        <v>33972.1</v>
      </c>
      <c r="L14" s="4">
        <f>+V57</f>
        <v>43279.199999999997</v>
      </c>
      <c r="M14" s="4">
        <f t="shared" ref="M14:R14" si="10">+W57</f>
        <v>51024.3</v>
      </c>
      <c r="N14" s="4">
        <f t="shared" si="10"/>
        <v>55123.6</v>
      </c>
      <c r="O14" s="4">
        <f t="shared" si="10"/>
        <v>58582.8</v>
      </c>
      <c r="P14" s="4">
        <f t="shared" si="10"/>
        <v>61367.8</v>
      </c>
      <c r="Q14" s="4">
        <f t="shared" si="10"/>
        <v>64849.3</v>
      </c>
      <c r="R14" s="4">
        <f t="shared" si="10"/>
        <v>68687.5</v>
      </c>
      <c r="U14" s="13" t="s">
        <v>25</v>
      </c>
      <c r="V14" s="14">
        <v>1935.6</v>
      </c>
      <c r="W14" s="14">
        <v>3249.4</v>
      </c>
      <c r="X14" s="14">
        <v>3480</v>
      </c>
      <c r="Y14" s="14">
        <v>3342.9</v>
      </c>
      <c r="Z14" s="14">
        <v>3139.1</v>
      </c>
      <c r="AA14" s="14">
        <v>3106.5</v>
      </c>
      <c r="AB14" s="15">
        <v>3085.3</v>
      </c>
    </row>
    <row r="15" spans="2:28" x14ac:dyDescent="0.25">
      <c r="U15" s="13" t="s">
        <v>26</v>
      </c>
      <c r="V15" s="14">
        <v>1101.5</v>
      </c>
      <c r="W15" s="14">
        <v>67.900000000000006</v>
      </c>
      <c r="X15" s="14">
        <v>7.1</v>
      </c>
      <c r="Y15" s="14">
        <v>-3.9</v>
      </c>
      <c r="Z15" s="14">
        <v>-6.1</v>
      </c>
      <c r="AA15" s="14">
        <v>-1</v>
      </c>
      <c r="AB15" s="15">
        <v>-0.7</v>
      </c>
    </row>
    <row r="16" spans="2:28" x14ac:dyDescent="0.25">
      <c r="U16" s="13" t="s">
        <v>28</v>
      </c>
      <c r="V16" s="6"/>
      <c r="W16" s="6"/>
      <c r="X16" s="6"/>
      <c r="Y16" s="6"/>
      <c r="Z16" s="6"/>
      <c r="AA16" s="6"/>
      <c r="AB16" s="6"/>
    </row>
    <row r="17" spans="2:28" x14ac:dyDescent="0.25">
      <c r="B17" t="s">
        <v>11</v>
      </c>
      <c r="O17" t="s">
        <v>39</v>
      </c>
      <c r="P17" t="s">
        <v>41</v>
      </c>
      <c r="Q17" t="s">
        <v>42</v>
      </c>
      <c r="U17" s="13" t="s">
        <v>23</v>
      </c>
      <c r="V17" s="14">
        <v>3119.1</v>
      </c>
      <c r="W17" s="14">
        <v>2924.2</v>
      </c>
      <c r="X17" s="14">
        <v>3139.2</v>
      </c>
      <c r="Y17" s="14">
        <v>3528.4</v>
      </c>
      <c r="Z17" s="14">
        <v>3735</v>
      </c>
      <c r="AA17" s="14">
        <v>3817.2</v>
      </c>
      <c r="AB17" s="15">
        <v>3905.6</v>
      </c>
    </row>
    <row r="18" spans="2:28" x14ac:dyDescent="0.25">
      <c r="B18" t="s">
        <v>0</v>
      </c>
      <c r="M18" s="1">
        <f>+M4/M$14</f>
        <v>0.21026648087283903</v>
      </c>
      <c r="N18" s="1">
        <f>+N4/N$14</f>
        <v>0.2118711404915499</v>
      </c>
      <c r="O18" s="21">
        <f>+X8/W8-1</f>
        <v>4.9348598499802554E-2</v>
      </c>
      <c r="P18">
        <f>+O18*M18</f>
        <v>1.0376356142560146E-2</v>
      </c>
      <c r="Q18">
        <f>+O18*N18</f>
        <v>1.0455543845812756E-2</v>
      </c>
      <c r="S18" s="2">
        <f>+M18</f>
        <v>0.21026648087283903</v>
      </c>
      <c r="U18" s="13" t="s">
        <v>24</v>
      </c>
      <c r="V18" s="14">
        <v>462.5</v>
      </c>
      <c r="W18" s="14">
        <v>450.4</v>
      </c>
      <c r="X18" s="14">
        <v>442.3</v>
      </c>
      <c r="Y18" s="14">
        <v>453.8</v>
      </c>
      <c r="Z18" s="14">
        <v>458.8</v>
      </c>
      <c r="AA18" s="14">
        <v>466.4</v>
      </c>
      <c r="AB18" s="15">
        <v>474.8</v>
      </c>
    </row>
    <row r="19" spans="2:28" x14ac:dyDescent="0.25">
      <c r="B19" t="s">
        <v>1</v>
      </c>
      <c r="M19" s="1">
        <f t="shared" ref="M19:N27" si="11">+M5/M$14</f>
        <v>5.7309948397136261E-2</v>
      </c>
      <c r="N19" s="1">
        <f t="shared" si="11"/>
        <v>5.6948385083702806E-2</v>
      </c>
      <c r="O19" s="21">
        <f>+X18/W18-1</f>
        <v>-1.7984014209591392E-2</v>
      </c>
      <c r="P19">
        <f t="shared" ref="P19:P27" si="12">+O19*M19</f>
        <v>-1.030662926325048E-3</v>
      </c>
      <c r="Q19">
        <f t="shared" ref="Q19:Q27" si="13">+O19*N19</f>
        <v>-1.0241605665585937E-3</v>
      </c>
      <c r="S19" s="2">
        <f>+M19+M20</f>
        <v>0.33500116611104902</v>
      </c>
      <c r="U19" s="13" t="s">
        <v>25</v>
      </c>
      <c r="V19" s="14">
        <v>674.4</v>
      </c>
      <c r="W19" s="14">
        <v>649.29999999999995</v>
      </c>
      <c r="X19" s="14">
        <v>709.7</v>
      </c>
      <c r="Y19" s="14">
        <v>777.5</v>
      </c>
      <c r="Z19" s="14">
        <v>814.1</v>
      </c>
      <c r="AA19" s="14">
        <v>818.5</v>
      </c>
      <c r="AB19" s="15">
        <v>822.6</v>
      </c>
    </row>
    <row r="20" spans="2:28" x14ac:dyDescent="0.25">
      <c r="B20" t="s">
        <v>2</v>
      </c>
      <c r="M20" s="1">
        <f t="shared" si="11"/>
        <v>0.27769121771391275</v>
      </c>
      <c r="N20" s="1">
        <f t="shared" si="11"/>
        <v>0.27228265207642466</v>
      </c>
      <c r="O20" s="21">
        <f>+X13/W13-1</f>
        <v>-1.0779816513761475E-2</v>
      </c>
      <c r="P20">
        <f t="shared" si="12"/>
        <v>-2.9934603744389697E-3</v>
      </c>
      <c r="Q20">
        <f t="shared" si="13"/>
        <v>-2.9351570292642129E-3</v>
      </c>
      <c r="U20" s="13" t="s">
        <v>26</v>
      </c>
      <c r="V20" s="14">
        <v>-1.7</v>
      </c>
      <c r="W20" s="14">
        <v>-3.7</v>
      </c>
      <c r="X20" s="14">
        <v>9.3000000000000007</v>
      </c>
      <c r="Y20" s="14">
        <v>9.5</v>
      </c>
      <c r="Z20" s="14">
        <v>4.7</v>
      </c>
      <c r="AA20" s="14">
        <v>0.5</v>
      </c>
      <c r="AB20" s="15">
        <v>0.5</v>
      </c>
    </row>
    <row r="21" spans="2:28" x14ac:dyDescent="0.25">
      <c r="B21" t="s">
        <v>3</v>
      </c>
      <c r="M21" s="1">
        <f t="shared" si="11"/>
        <v>5.6565205206146871E-2</v>
      </c>
      <c r="N21" s="1">
        <f t="shared" si="11"/>
        <v>5.7570623108795509E-2</v>
      </c>
      <c r="O21" s="21">
        <f>+X23/W23-1</f>
        <v>5.711885762284763E-2</v>
      </c>
      <c r="P21">
        <f t="shared" si="12"/>
        <v>3.2309399025770625E-3</v>
      </c>
      <c r="Q21">
        <f t="shared" si="13"/>
        <v>3.2883682246099121E-3</v>
      </c>
      <c r="U21" s="13" t="s">
        <v>29</v>
      </c>
      <c r="V21" s="6"/>
      <c r="W21" s="6"/>
      <c r="X21" s="6"/>
      <c r="Y21" s="6"/>
      <c r="Z21" s="6"/>
      <c r="AA21" s="6"/>
      <c r="AB21" s="6"/>
    </row>
    <row r="22" spans="2:28" x14ac:dyDescent="0.25">
      <c r="B22" t="s">
        <v>4</v>
      </c>
      <c r="M22" s="1">
        <f t="shared" si="11"/>
        <v>1.9565187567492349E-2</v>
      </c>
      <c r="N22" s="1">
        <f t="shared" si="11"/>
        <v>2.0103911936085454E-2</v>
      </c>
      <c r="O22" s="21">
        <f>+X28/W28-1</f>
        <v>5.7135536766589778E-2</v>
      </c>
      <c r="P22">
        <f t="shared" si="12"/>
        <v>1.1178674936076843E-3</v>
      </c>
      <c r="Q22">
        <f t="shared" si="13"/>
        <v>1.1486477995764936E-3</v>
      </c>
      <c r="U22" s="13" t="s">
        <v>23</v>
      </c>
      <c r="V22" s="14">
        <v>2679</v>
      </c>
      <c r="W22" s="14">
        <v>2886.2</v>
      </c>
      <c r="X22" s="14">
        <v>3173.5</v>
      </c>
      <c r="Y22" s="14">
        <v>3465.3</v>
      </c>
      <c r="Z22" s="14">
        <v>3785.6</v>
      </c>
      <c r="AA22" s="14">
        <v>4134</v>
      </c>
      <c r="AB22" s="15">
        <v>4514.8999999999996</v>
      </c>
    </row>
    <row r="23" spans="2:28" x14ac:dyDescent="0.25">
      <c r="B23" t="s">
        <v>5</v>
      </c>
      <c r="M23" s="1">
        <f t="shared" si="11"/>
        <v>0.15151800220679165</v>
      </c>
      <c r="N23" s="1">
        <f t="shared" si="11"/>
        <v>0.15273131653230196</v>
      </c>
      <c r="O23" s="21">
        <f>+X33/W33-1</f>
        <v>5.7048367093840424E-2</v>
      </c>
      <c r="P23">
        <f t="shared" si="12"/>
        <v>8.643854611218374E-3</v>
      </c>
      <c r="Q23">
        <f t="shared" si="13"/>
        <v>8.7130722122603001E-3</v>
      </c>
      <c r="S23" s="2">
        <f>+M23</f>
        <v>0.15151800220679165</v>
      </c>
      <c r="U23" s="13" t="s">
        <v>24</v>
      </c>
      <c r="V23" s="14">
        <v>226.5</v>
      </c>
      <c r="W23" s="14">
        <v>238.1</v>
      </c>
      <c r="X23" s="14">
        <v>251.7</v>
      </c>
      <c r="Y23" s="14">
        <v>264.3</v>
      </c>
      <c r="Z23" s="14">
        <v>277.60000000000002</v>
      </c>
      <c r="AA23" s="14">
        <v>291.5</v>
      </c>
      <c r="AB23" s="15">
        <v>306.10000000000002</v>
      </c>
    </row>
    <row r="24" spans="2:28" x14ac:dyDescent="0.25">
      <c r="B24" t="s">
        <v>6</v>
      </c>
      <c r="M24" s="1">
        <f t="shared" si="11"/>
        <v>7.7394496347818587E-2</v>
      </c>
      <c r="N24" s="1">
        <f t="shared" si="11"/>
        <v>7.8013772685383384E-2</v>
      </c>
      <c r="O24" s="21">
        <f>+X38/W38-1</f>
        <v>5.7433660487095528E-2</v>
      </c>
      <c r="P24">
        <f t="shared" si="12"/>
        <v>4.4450492268103678E-3</v>
      </c>
      <c r="Q24">
        <f t="shared" si="13"/>
        <v>4.4806165337297563E-3</v>
      </c>
      <c r="U24" s="13" t="s">
        <v>25</v>
      </c>
      <c r="V24" s="14">
        <v>1182.7</v>
      </c>
      <c r="W24" s="14">
        <v>1212.2</v>
      </c>
      <c r="X24" s="14">
        <v>1260.7</v>
      </c>
      <c r="Y24" s="14">
        <v>1311.1</v>
      </c>
      <c r="Z24" s="14">
        <v>1363.6</v>
      </c>
      <c r="AA24" s="14">
        <v>1418.1</v>
      </c>
      <c r="AB24" s="15">
        <v>1474.9</v>
      </c>
    </row>
    <row r="25" spans="2:28" x14ac:dyDescent="0.25">
      <c r="B25" t="s">
        <v>7</v>
      </c>
      <c r="M25" s="1">
        <f t="shared" si="11"/>
        <v>2.951534856921114E-2</v>
      </c>
      <c r="N25" s="1">
        <f t="shared" si="11"/>
        <v>3.0039765182244993E-2</v>
      </c>
      <c r="O25" s="21">
        <f>+X43/W43-1</f>
        <v>5.7636887608069065E-2</v>
      </c>
      <c r="P25">
        <f t="shared" si="12"/>
        <v>1.7011728281966045E-3</v>
      </c>
      <c r="Q25">
        <f t="shared" si="13"/>
        <v>1.731398569581841E-3</v>
      </c>
      <c r="U25" s="13" t="s">
        <v>26</v>
      </c>
      <c r="V25" s="14">
        <v>4</v>
      </c>
      <c r="W25" s="14">
        <v>2.5</v>
      </c>
      <c r="X25" s="14">
        <v>4</v>
      </c>
      <c r="Y25" s="14">
        <v>4</v>
      </c>
      <c r="Z25" s="14">
        <v>4</v>
      </c>
      <c r="AA25" s="14">
        <v>4</v>
      </c>
      <c r="AB25" s="15">
        <v>4</v>
      </c>
    </row>
    <row r="26" spans="2:28" x14ac:dyDescent="0.25">
      <c r="B26" t="s">
        <v>8</v>
      </c>
      <c r="M26" s="1">
        <f t="shared" si="11"/>
        <v>4.0414077214190096E-2</v>
      </c>
      <c r="N26" s="1">
        <f t="shared" si="11"/>
        <v>4.0737542540762936E-2</v>
      </c>
      <c r="O26" s="21">
        <f>+X48/W48-1</f>
        <v>5.7237813884785771E-2</v>
      </c>
      <c r="P26">
        <f t="shared" si="12"/>
        <v>2.3132134299111741E-3</v>
      </c>
      <c r="Q26">
        <f t="shared" si="13"/>
        <v>2.3317278780717317E-3</v>
      </c>
      <c r="U26" s="13" t="s">
        <v>30</v>
      </c>
      <c r="V26" s="6"/>
      <c r="W26" s="6"/>
      <c r="X26" s="6"/>
      <c r="Y26" s="6"/>
      <c r="Z26" s="6"/>
      <c r="AA26" s="6"/>
      <c r="AB26" s="6"/>
    </row>
    <row r="27" spans="2:28" x14ac:dyDescent="0.25">
      <c r="B27" t="s">
        <v>9</v>
      </c>
      <c r="M27" s="1">
        <f t="shared" si="11"/>
        <v>6.7262069249357653E-2</v>
      </c>
      <c r="N27" s="1">
        <f t="shared" si="11"/>
        <v>6.812871438004775E-2</v>
      </c>
      <c r="O27" s="21">
        <f>+X53/W53-1</f>
        <v>5.6956115779645211E-2</v>
      </c>
      <c r="P27">
        <f t="shared" si="12"/>
        <v>3.8309862037449282E-3</v>
      </c>
      <c r="Q27">
        <f t="shared" si="13"/>
        <v>3.8803469441483791E-3</v>
      </c>
      <c r="S27" s="2">
        <f>+M21+M22+M24+M25+M26+M27</f>
        <v>0.29071638415421674</v>
      </c>
      <c r="U27" s="13" t="s">
        <v>23</v>
      </c>
      <c r="V27" s="14">
        <v>896</v>
      </c>
      <c r="W27" s="14">
        <v>998.3</v>
      </c>
      <c r="X27" s="14">
        <v>1108.2</v>
      </c>
      <c r="Y27" s="14">
        <v>1210.0999999999999</v>
      </c>
      <c r="Z27" s="14">
        <v>1321.9</v>
      </c>
      <c r="AA27" s="14">
        <v>1443.6</v>
      </c>
      <c r="AB27" s="15">
        <v>1576.6</v>
      </c>
    </row>
    <row r="28" spans="2:28" x14ac:dyDescent="0.25">
      <c r="M28" s="1">
        <f>+M14/M$14</f>
        <v>1</v>
      </c>
      <c r="N28" s="1">
        <f>+N14/N$14</f>
        <v>1</v>
      </c>
      <c r="P28" s="21">
        <f>SUM(P18:P27)</f>
        <v>3.1635316537862321E-2</v>
      </c>
      <c r="Q28" s="3">
        <f>SUM(Q18:Q27)</f>
        <v>3.2070404411968359E-2</v>
      </c>
      <c r="U28" s="13" t="s">
        <v>24</v>
      </c>
      <c r="V28" s="14">
        <v>371.3</v>
      </c>
      <c r="W28" s="14">
        <v>390.3</v>
      </c>
      <c r="X28" s="14">
        <v>412.6</v>
      </c>
      <c r="Y28" s="14">
        <v>433.2</v>
      </c>
      <c r="Z28" s="14">
        <v>455.1</v>
      </c>
      <c r="AA28" s="14">
        <v>477.8</v>
      </c>
      <c r="AB28" s="15">
        <v>501.8</v>
      </c>
    </row>
    <row r="29" spans="2:28" x14ac:dyDescent="0.25">
      <c r="M29" t="s">
        <v>40</v>
      </c>
      <c r="P29" s="21">
        <f>+X58/W58-1</f>
        <v>3.5991531404375499E-2</v>
      </c>
      <c r="U29" s="13" t="s">
        <v>25</v>
      </c>
      <c r="V29" s="14">
        <v>241.3</v>
      </c>
      <c r="W29" s="14">
        <v>255.8</v>
      </c>
      <c r="X29" s="14">
        <v>268.60000000000002</v>
      </c>
      <c r="Y29" s="14">
        <v>279.3</v>
      </c>
      <c r="Z29" s="14">
        <v>290.5</v>
      </c>
      <c r="AA29" s="14">
        <v>302.10000000000002</v>
      </c>
      <c r="AB29" s="15">
        <v>314.2</v>
      </c>
    </row>
    <row r="30" spans="2:28" x14ac:dyDescent="0.25">
      <c r="L30" s="1"/>
      <c r="M30" s="1"/>
      <c r="N30" s="1"/>
      <c r="O30" s="1"/>
      <c r="P30" s="1"/>
      <c r="Q30" s="1"/>
      <c r="U30" s="13" t="s">
        <v>26</v>
      </c>
      <c r="V30" s="14">
        <v>6</v>
      </c>
      <c r="W30" s="14">
        <v>6</v>
      </c>
      <c r="X30" s="14">
        <v>5</v>
      </c>
      <c r="Y30" s="14">
        <v>4</v>
      </c>
      <c r="Z30" s="14">
        <v>4</v>
      </c>
      <c r="AA30" s="14">
        <v>4</v>
      </c>
      <c r="AB30" s="15">
        <v>4</v>
      </c>
    </row>
    <row r="31" spans="2:28" x14ac:dyDescent="0.25">
      <c r="L31" s="1"/>
      <c r="M31" s="1"/>
      <c r="N31" s="1"/>
      <c r="O31" s="1"/>
      <c r="P31" s="1"/>
      <c r="Q31" s="1"/>
      <c r="U31" s="13" t="s">
        <v>31</v>
      </c>
      <c r="V31" s="6"/>
      <c r="W31" s="6"/>
      <c r="X31" s="6"/>
      <c r="Y31" s="6"/>
      <c r="Z31" s="6"/>
      <c r="AA31" s="6"/>
      <c r="AB31" s="6"/>
    </row>
    <row r="32" spans="2:28" x14ac:dyDescent="0.25">
      <c r="L32" s="1"/>
      <c r="M32" s="1"/>
      <c r="N32" s="1"/>
      <c r="O32" s="1"/>
      <c r="P32" s="1"/>
      <c r="Q32" s="1"/>
      <c r="U32" s="13" t="s">
        <v>23</v>
      </c>
      <c r="V32" s="14">
        <v>7246.7</v>
      </c>
      <c r="W32" s="14">
        <v>7731.1</v>
      </c>
      <c r="X32" s="14">
        <v>8419.1</v>
      </c>
      <c r="Y32" s="14">
        <v>9148.9</v>
      </c>
      <c r="Z32" s="14">
        <v>9898.5</v>
      </c>
      <c r="AA32" s="14">
        <v>10705.5</v>
      </c>
      <c r="AB32" s="15">
        <v>11579.4</v>
      </c>
    </row>
    <row r="33" spans="2:28" x14ac:dyDescent="0.25">
      <c r="B33" t="s">
        <v>10</v>
      </c>
      <c r="H33">
        <v>2010</v>
      </c>
      <c r="M33" s="1">
        <v>20.100000000000001</v>
      </c>
      <c r="P33" s="1">
        <v>20.149999999999999</v>
      </c>
      <c r="Q33" s="1"/>
      <c r="R33" s="1" t="s">
        <v>98</v>
      </c>
      <c r="S33" s="1" t="s">
        <v>97</v>
      </c>
      <c r="U33" s="13" t="s">
        <v>24</v>
      </c>
      <c r="V33" s="14">
        <v>230.1</v>
      </c>
      <c r="W33" s="14">
        <v>241.9</v>
      </c>
      <c r="X33" s="14">
        <v>255.7</v>
      </c>
      <c r="Y33" s="14">
        <v>268.5</v>
      </c>
      <c r="Z33" s="14">
        <v>282.10000000000002</v>
      </c>
      <c r="AA33" s="14">
        <v>296.2</v>
      </c>
      <c r="AB33" s="15">
        <v>311</v>
      </c>
    </row>
    <row r="34" spans="2:28" x14ac:dyDescent="0.25">
      <c r="B34" t="s">
        <v>0</v>
      </c>
      <c r="D34">
        <v>5221</v>
      </c>
      <c r="E34">
        <v>5560</v>
      </c>
      <c r="F34">
        <v>6370</v>
      </c>
      <c r="G34">
        <v>6940</v>
      </c>
      <c r="H34">
        <v>7614</v>
      </c>
      <c r="I34" s="1">
        <v>0.2</v>
      </c>
      <c r="J34" s="3">
        <f>+H34/H44</f>
        <v>0.2033816812244571</v>
      </c>
      <c r="K34" s="3">
        <f>+H34/H45/1000</f>
        <v>0.1972538860103627</v>
      </c>
      <c r="L34">
        <v>8205</v>
      </c>
      <c r="M34">
        <v>8575</v>
      </c>
      <c r="N34">
        <v>9215</v>
      </c>
      <c r="O34">
        <f>+N34/N45/1000</f>
        <v>0.19400000000000001</v>
      </c>
      <c r="P34" s="1">
        <v>0.17</v>
      </c>
      <c r="Q34" s="50">
        <f>+P34*P$45*1000</f>
        <v>10914.000000000002</v>
      </c>
      <c r="R34" s="1">
        <f>+Q34/N34-1</f>
        <v>0.18437330439500843</v>
      </c>
      <c r="S34" s="1">
        <f>+M4/K4-1</f>
        <v>0.16399952262642259</v>
      </c>
      <c r="U34" s="13" t="s">
        <v>25</v>
      </c>
      <c r="V34" s="14">
        <v>3148.8</v>
      </c>
      <c r="W34" s="14">
        <v>3196.1</v>
      </c>
      <c r="X34" s="14">
        <v>3292</v>
      </c>
      <c r="Y34" s="14">
        <v>3407.2</v>
      </c>
      <c r="Z34" s="14">
        <v>3509.4</v>
      </c>
      <c r="AA34" s="14">
        <v>3614.7</v>
      </c>
      <c r="AB34" s="15">
        <v>3723.1</v>
      </c>
    </row>
    <row r="35" spans="2:28" x14ac:dyDescent="0.25">
      <c r="B35" t="s">
        <v>1</v>
      </c>
      <c r="D35">
        <v>4762</v>
      </c>
      <c r="E35">
        <v>5014</v>
      </c>
      <c r="F35">
        <v>5353</v>
      </c>
      <c r="G35">
        <v>4792</v>
      </c>
      <c r="H35">
        <v>6136</v>
      </c>
      <c r="I35" s="1">
        <v>0.2</v>
      </c>
      <c r="J35">
        <f>+(H35+H36)/H44</f>
        <v>0.20196596949541898</v>
      </c>
      <c r="K35">
        <f>+(H35+H36)/H45/1000</f>
        <v>0.19588082901554404</v>
      </c>
      <c r="L35">
        <v>6006</v>
      </c>
      <c r="M35">
        <v>4656</v>
      </c>
      <c r="N35">
        <v>4757</v>
      </c>
      <c r="O35" s="3">
        <f>+(N35+N36)/N45/1000</f>
        <v>0.1267578947368421</v>
      </c>
      <c r="P35" s="1">
        <v>0.28999999999999998</v>
      </c>
      <c r="Q35" s="50">
        <f>+P35*P$45*1000</f>
        <v>18618</v>
      </c>
      <c r="R35" s="1">
        <f>+Q35/(N35+N36)-1</f>
        <v>2.0921773791728948</v>
      </c>
      <c r="S35" s="1">
        <f>+(M5+M6)/(K5+K6)-1</f>
        <v>2.6416549490817673</v>
      </c>
      <c r="U35" s="13" t="s">
        <v>26</v>
      </c>
      <c r="V35" s="14">
        <v>-6.4</v>
      </c>
      <c r="W35" s="14">
        <v>1.5</v>
      </c>
      <c r="X35" s="14">
        <v>3</v>
      </c>
      <c r="Y35" s="14">
        <v>3.5</v>
      </c>
      <c r="Z35" s="14">
        <v>3</v>
      </c>
      <c r="AA35" s="14">
        <v>3</v>
      </c>
      <c r="AB35" s="15">
        <v>3</v>
      </c>
    </row>
    <row r="36" spans="2:28" x14ac:dyDescent="0.25">
      <c r="B36" t="s">
        <v>2</v>
      </c>
      <c r="D36">
        <v>1897</v>
      </c>
      <c r="E36">
        <v>1886</v>
      </c>
      <c r="F36">
        <v>2239</v>
      </c>
      <c r="G36">
        <v>1044</v>
      </c>
      <c r="H36">
        <v>1425</v>
      </c>
      <c r="I36" s="1"/>
      <c r="L36">
        <v>1599</v>
      </c>
      <c r="M36">
        <v>1340</v>
      </c>
      <c r="N36">
        <v>1264</v>
      </c>
      <c r="P36" s="1"/>
      <c r="Q36" s="1"/>
      <c r="R36" s="1"/>
      <c r="S36" s="1"/>
      <c r="U36" s="13" t="s">
        <v>32</v>
      </c>
      <c r="V36" s="6"/>
      <c r="W36" s="6"/>
      <c r="X36" s="6"/>
      <c r="Y36" s="6"/>
      <c r="Z36" s="6"/>
      <c r="AA36" s="6"/>
      <c r="AB36" s="6"/>
    </row>
    <row r="37" spans="2:28" x14ac:dyDescent="0.25">
      <c r="B37" t="s">
        <v>3</v>
      </c>
      <c r="D37">
        <v>606</v>
      </c>
      <c r="E37">
        <v>703</v>
      </c>
      <c r="F37">
        <v>814</v>
      </c>
      <c r="G37">
        <v>850</v>
      </c>
      <c r="H37">
        <v>974</v>
      </c>
      <c r="I37" s="1"/>
      <c r="L37">
        <v>1106</v>
      </c>
      <c r="M37">
        <v>1163</v>
      </c>
      <c r="N37">
        <v>1245</v>
      </c>
      <c r="P37" s="1"/>
      <c r="Q37" s="1"/>
      <c r="R37" s="1"/>
      <c r="S37" s="1"/>
      <c r="U37" s="13" t="s">
        <v>23</v>
      </c>
      <c r="V37" s="14">
        <v>3665.4</v>
      </c>
      <c r="W37" s="14">
        <v>3949</v>
      </c>
      <c r="X37" s="14">
        <v>4300.3999999999996</v>
      </c>
      <c r="Y37" s="14">
        <v>4740.8999999999996</v>
      </c>
      <c r="Z37" s="14">
        <v>5204</v>
      </c>
      <c r="AA37" s="14">
        <v>5682.9</v>
      </c>
      <c r="AB37" s="15">
        <v>6206.5</v>
      </c>
    </row>
    <row r="38" spans="2:28" x14ac:dyDescent="0.25">
      <c r="B38" t="s">
        <v>4</v>
      </c>
      <c r="D38">
        <v>256</v>
      </c>
      <c r="E38">
        <v>285</v>
      </c>
      <c r="F38">
        <v>313</v>
      </c>
      <c r="G38">
        <v>354</v>
      </c>
      <c r="H38">
        <v>384</v>
      </c>
      <c r="I38" s="1"/>
      <c r="L38">
        <v>434</v>
      </c>
      <c r="M38">
        <v>493</v>
      </c>
      <c r="N38">
        <v>559</v>
      </c>
      <c r="P38" s="1"/>
      <c r="Q38" s="1"/>
      <c r="R38" s="1"/>
      <c r="S38" s="1"/>
      <c r="U38" s="13" t="s">
        <v>24</v>
      </c>
      <c r="V38" s="14">
        <v>261.7</v>
      </c>
      <c r="W38" s="14">
        <v>275.10000000000002</v>
      </c>
      <c r="X38" s="14">
        <v>290.89999999999998</v>
      </c>
      <c r="Y38" s="14">
        <v>305.39999999999998</v>
      </c>
      <c r="Z38" s="14">
        <v>320.8</v>
      </c>
      <c r="AA38" s="14">
        <v>336.8</v>
      </c>
      <c r="AB38" s="15">
        <v>353.7</v>
      </c>
    </row>
    <row r="39" spans="2:28" x14ac:dyDescent="0.25">
      <c r="B39" t="s">
        <v>5</v>
      </c>
      <c r="D39">
        <v>1402</v>
      </c>
      <c r="E39">
        <v>1606</v>
      </c>
      <c r="F39">
        <v>1800</v>
      </c>
      <c r="G39">
        <v>2272</v>
      </c>
      <c r="H39">
        <v>3676</v>
      </c>
      <c r="I39" s="1">
        <v>0.1</v>
      </c>
      <c r="J39">
        <f>+H39/H44</f>
        <v>9.8191628602719239E-2</v>
      </c>
      <c r="K39">
        <f>+H39/H45/1000</f>
        <v>9.5233160621761653E-2</v>
      </c>
      <c r="L39">
        <v>3969</v>
      </c>
      <c r="M39">
        <v>4480</v>
      </c>
      <c r="N39">
        <v>4533</v>
      </c>
      <c r="P39" s="1">
        <v>0.08</v>
      </c>
      <c r="Q39" s="50">
        <f>+P39*P$45*1000</f>
        <v>5136</v>
      </c>
      <c r="R39" s="3">
        <f>+Q39/N39-1</f>
        <v>0.13302448709463932</v>
      </c>
      <c r="S39" s="1">
        <f>+M9/K9-1</f>
        <v>4.0917169323567482E-2</v>
      </c>
      <c r="U39" s="13" t="s">
        <v>25</v>
      </c>
      <c r="V39" s="14">
        <v>1400.5</v>
      </c>
      <c r="W39" s="14">
        <v>1435.5</v>
      </c>
      <c r="X39" s="14">
        <v>1478.5</v>
      </c>
      <c r="Y39" s="14">
        <v>1552.5</v>
      </c>
      <c r="Z39" s="14">
        <v>1622.3</v>
      </c>
      <c r="AA39" s="14">
        <v>1687.2</v>
      </c>
      <c r="AB39" s="15">
        <v>1754.7</v>
      </c>
    </row>
    <row r="40" spans="2:28" x14ac:dyDescent="0.25">
      <c r="B40" t="s">
        <v>6</v>
      </c>
      <c r="D40">
        <v>2975</v>
      </c>
      <c r="E40">
        <v>3224</v>
      </c>
      <c r="F40">
        <v>3711</v>
      </c>
      <c r="G40">
        <v>4053</v>
      </c>
      <c r="H40">
        <v>4413</v>
      </c>
      <c r="I40" s="1"/>
      <c r="L40">
        <v>4899</v>
      </c>
      <c r="M40">
        <v>5251</v>
      </c>
      <c r="N40">
        <v>5660</v>
      </c>
      <c r="P40" s="1"/>
      <c r="Q40" s="1"/>
      <c r="R40" s="1"/>
      <c r="S40" s="1"/>
      <c r="U40" s="13" t="s">
        <v>26</v>
      </c>
      <c r="V40" s="14">
        <v>4</v>
      </c>
      <c r="W40" s="14">
        <v>2.5</v>
      </c>
      <c r="X40" s="14">
        <v>3</v>
      </c>
      <c r="Y40" s="14">
        <v>5</v>
      </c>
      <c r="Z40" s="14">
        <v>4.5</v>
      </c>
      <c r="AA40" s="14">
        <v>4</v>
      </c>
      <c r="AB40" s="15">
        <v>4</v>
      </c>
    </row>
    <row r="41" spans="2:28" ht="18" x14ac:dyDescent="0.25">
      <c r="B41" t="s">
        <v>7</v>
      </c>
      <c r="D41">
        <v>886</v>
      </c>
      <c r="E41">
        <v>930</v>
      </c>
      <c r="F41">
        <v>1236</v>
      </c>
      <c r="G41">
        <v>1425</v>
      </c>
      <c r="H41">
        <v>1810</v>
      </c>
      <c r="L41">
        <v>2048</v>
      </c>
      <c r="M41">
        <v>2142</v>
      </c>
      <c r="N41">
        <v>2312</v>
      </c>
      <c r="U41" s="13" t="s">
        <v>33</v>
      </c>
      <c r="V41" s="6"/>
      <c r="W41" s="6"/>
      <c r="X41" s="6"/>
      <c r="Y41" s="6"/>
      <c r="Z41" s="6"/>
      <c r="AA41" s="6"/>
      <c r="AB41" s="6"/>
    </row>
    <row r="42" spans="2:28" x14ac:dyDescent="0.25">
      <c r="B42" t="s">
        <v>8</v>
      </c>
      <c r="D42">
        <v>3005</v>
      </c>
      <c r="E42">
        <v>3400</v>
      </c>
      <c r="F42">
        <v>3830</v>
      </c>
      <c r="G42">
        <v>4078</v>
      </c>
      <c r="H42">
        <v>4956</v>
      </c>
      <c r="L42">
        <v>5952</v>
      </c>
      <c r="M42">
        <v>6652</v>
      </c>
      <c r="N42">
        <v>7327</v>
      </c>
      <c r="U42" s="13" t="s">
        <v>23</v>
      </c>
      <c r="V42" s="14">
        <v>1364.6</v>
      </c>
      <c r="W42" s="14">
        <v>1506</v>
      </c>
      <c r="X42" s="14">
        <v>1655.9</v>
      </c>
      <c r="Y42" s="14">
        <v>1808.2</v>
      </c>
      <c r="Z42" s="14">
        <v>1984.8</v>
      </c>
      <c r="AA42" s="14">
        <v>2167.5</v>
      </c>
      <c r="AB42" s="15">
        <v>2367.1999999999998</v>
      </c>
    </row>
    <row r="43" spans="2:28" x14ac:dyDescent="0.25">
      <c r="B43" t="s">
        <v>9</v>
      </c>
      <c r="D43">
        <v>3594</v>
      </c>
      <c r="E43">
        <v>4424</v>
      </c>
      <c r="F43">
        <v>4524</v>
      </c>
      <c r="G43">
        <v>4952</v>
      </c>
      <c r="H43">
        <v>6049</v>
      </c>
      <c r="I43" s="2">
        <v>0.51</v>
      </c>
      <c r="J43">
        <f>+(H43+H42+H41+H40+H38+H37)/H44</f>
        <v>0.49646072067740471</v>
      </c>
      <c r="K43">
        <f>+(H43+H42+H41+H40+H38+H37+(H45*1000-H44))/H45/1000</f>
        <v>0.51163212435233152</v>
      </c>
      <c r="L43">
        <v>7308</v>
      </c>
      <c r="M43">
        <v>7988</v>
      </c>
      <c r="N43">
        <v>8821</v>
      </c>
      <c r="P43" s="2">
        <v>0.46</v>
      </c>
      <c r="Q43" s="50">
        <f>+P43*P$45*1000</f>
        <v>29532.000000000004</v>
      </c>
      <c r="R43" s="3">
        <f>+Q43/(N43+N42+N41+N40+N38+N37)-1</f>
        <v>0.13917605307822889</v>
      </c>
      <c r="S43" s="3">
        <f>+(M13+M12+M11+M10+M8+M7)/(K13+K12+K11+K10+K8+K7)-1</f>
        <v>0.17410163052081673</v>
      </c>
      <c r="U43" s="13" t="s">
        <v>24</v>
      </c>
      <c r="V43" s="14">
        <v>132.1</v>
      </c>
      <c r="W43" s="14">
        <v>138.80000000000001</v>
      </c>
      <c r="X43" s="14">
        <v>146.80000000000001</v>
      </c>
      <c r="Y43" s="14">
        <v>154.1</v>
      </c>
      <c r="Z43" s="14">
        <v>161.9</v>
      </c>
      <c r="AA43" s="14">
        <v>170</v>
      </c>
      <c r="AB43" s="15">
        <v>178.5</v>
      </c>
    </row>
    <row r="44" spans="2:28" x14ac:dyDescent="0.25">
      <c r="D44">
        <v>24604</v>
      </c>
      <c r="E44">
        <v>27032</v>
      </c>
      <c r="F44">
        <v>30190</v>
      </c>
      <c r="G44">
        <v>30760</v>
      </c>
      <c r="H44">
        <v>37437</v>
      </c>
      <c r="J44" s="22">
        <f>+J34+J35+J39+J43</f>
        <v>1</v>
      </c>
      <c r="K44" s="22">
        <f>+K34+K35+K39+K43</f>
        <v>0.99999999999999989</v>
      </c>
      <c r="L44">
        <v>41526</v>
      </c>
      <c r="M44">
        <v>42740</v>
      </c>
      <c r="N44">
        <v>45693</v>
      </c>
      <c r="O44">
        <f>+O45*$N$46</f>
        <v>54.254425263157891</v>
      </c>
      <c r="P44">
        <f>+P45*$N$46</f>
        <v>61.757696842105268</v>
      </c>
      <c r="Q44">
        <f>+Q45*$N$46</f>
        <v>65.701724210526308</v>
      </c>
      <c r="U44" s="13" t="s">
        <v>25</v>
      </c>
      <c r="V44" s="14">
        <v>1033.2</v>
      </c>
      <c r="W44" s="14">
        <v>1084.9000000000001</v>
      </c>
      <c r="X44" s="14">
        <v>1128.3</v>
      </c>
      <c r="Y44" s="14">
        <v>1173.4000000000001</v>
      </c>
      <c r="Z44" s="14">
        <v>1226.2</v>
      </c>
      <c r="AA44" s="14">
        <v>1275.3</v>
      </c>
      <c r="AB44" s="15">
        <v>1326.3</v>
      </c>
    </row>
    <row r="45" spans="2:28" x14ac:dyDescent="0.25">
      <c r="H45">
        <v>38.6</v>
      </c>
      <c r="L45">
        <v>42.6</v>
      </c>
      <c r="M45">
        <v>44.3</v>
      </c>
      <c r="N45">
        <v>47.5</v>
      </c>
      <c r="O45">
        <v>56.4</v>
      </c>
      <c r="P45">
        <v>64.2</v>
      </c>
      <c r="Q45">
        <v>68.3</v>
      </c>
      <c r="U45" s="13" t="s">
        <v>26</v>
      </c>
      <c r="V45" s="14">
        <v>4</v>
      </c>
      <c r="W45" s="14">
        <v>5</v>
      </c>
      <c r="X45" s="14">
        <v>4</v>
      </c>
      <c r="Y45" s="14">
        <v>4</v>
      </c>
      <c r="Z45" s="14">
        <v>4.5</v>
      </c>
      <c r="AA45" s="14">
        <v>4</v>
      </c>
      <c r="AB45" s="15">
        <v>4</v>
      </c>
    </row>
    <row r="46" spans="2:28" ht="18" x14ac:dyDescent="0.25">
      <c r="H46" s="1">
        <f>+H44/H45/1000</f>
        <v>0.96987046632124352</v>
      </c>
      <c r="L46" s="1">
        <f t="shared" ref="L46:N46" si="14">+L44/L45/1000</f>
        <v>0.97478873239436625</v>
      </c>
      <c r="M46" s="1">
        <f t="shared" si="14"/>
        <v>0.96478555304740421</v>
      </c>
      <c r="N46" s="1">
        <f t="shared" si="14"/>
        <v>0.96195789473684212</v>
      </c>
      <c r="U46" s="13" t="s">
        <v>34</v>
      </c>
      <c r="V46" s="6"/>
      <c r="W46" s="6"/>
      <c r="X46" s="6"/>
      <c r="Y46" s="6"/>
      <c r="Z46" s="6"/>
      <c r="AA46" s="6"/>
      <c r="AB46" s="6"/>
    </row>
    <row r="47" spans="2:28" x14ac:dyDescent="0.25">
      <c r="D47">
        <v>2006</v>
      </c>
      <c r="E47">
        <v>2007</v>
      </c>
      <c r="F47">
        <v>2008</v>
      </c>
      <c r="G47">
        <v>2009</v>
      </c>
      <c r="H47">
        <v>2010</v>
      </c>
      <c r="L47">
        <v>2011</v>
      </c>
      <c r="M47">
        <v>2012</v>
      </c>
      <c r="N47">
        <v>2013</v>
      </c>
      <c r="O47">
        <v>2014</v>
      </c>
      <c r="P47">
        <v>2015</v>
      </c>
      <c r="U47" s="13" t="s">
        <v>23</v>
      </c>
      <c r="V47" s="14">
        <v>1895.5</v>
      </c>
      <c r="W47" s="14">
        <v>2062.1</v>
      </c>
      <c r="X47" s="14">
        <v>2245.6</v>
      </c>
      <c r="Y47" s="14">
        <v>2428.4</v>
      </c>
      <c r="Z47" s="14">
        <v>2652.9</v>
      </c>
      <c r="AA47" s="14">
        <v>2852.5</v>
      </c>
      <c r="AB47" s="15">
        <v>3067.4</v>
      </c>
    </row>
    <row r="48" spans="2:28" x14ac:dyDescent="0.25">
      <c r="B48" t="s">
        <v>96</v>
      </c>
      <c r="D48">
        <f>+D44-D36-D35</f>
        <v>17945</v>
      </c>
      <c r="E48">
        <f t="shared" ref="E48:K48" si="15">+E44-E36-E35</f>
        <v>20132</v>
      </c>
      <c r="F48">
        <f t="shared" si="15"/>
        <v>22598</v>
      </c>
      <c r="G48">
        <f t="shared" si="15"/>
        <v>24924</v>
      </c>
      <c r="H48">
        <f t="shared" ref="H48" si="16">+H45*1000-H36-H35</f>
        <v>31039</v>
      </c>
      <c r="L48">
        <f t="shared" ref="L48:M48" si="17">+L45*1000-L36-L35</f>
        <v>34995</v>
      </c>
      <c r="M48">
        <f t="shared" si="17"/>
        <v>38304</v>
      </c>
      <c r="N48">
        <f>+N45*1000-N36-N35</f>
        <v>41479</v>
      </c>
      <c r="O48">
        <f>+(N48+P48)/2</f>
        <v>43530.5</v>
      </c>
      <c r="P48">
        <f>+P45*(1-P35)*1000</f>
        <v>45582</v>
      </c>
      <c r="Q48" s="51">
        <f>+Q43+Q39+Q34</f>
        <v>45582</v>
      </c>
      <c r="U48" s="13" t="s">
        <v>24</v>
      </c>
      <c r="V48" s="14">
        <v>257.7</v>
      </c>
      <c r="W48" s="14">
        <v>270.8</v>
      </c>
      <c r="X48" s="14">
        <v>286.3</v>
      </c>
      <c r="Y48" s="14">
        <v>300.60000000000002</v>
      </c>
      <c r="Z48" s="14">
        <v>315.8</v>
      </c>
      <c r="AA48" s="14">
        <v>331.6</v>
      </c>
      <c r="AB48" s="15">
        <v>348.2</v>
      </c>
    </row>
    <row r="49" spans="2:28" x14ac:dyDescent="0.25">
      <c r="E49" s="3">
        <f>+E48/D48-1</f>
        <v>0.12187238785176935</v>
      </c>
      <c r="F49" s="3">
        <f t="shared" ref="F49:M49" si="18">+F48/E48-1</f>
        <v>0.12249155573216775</v>
      </c>
      <c r="G49" s="3">
        <f t="shared" si="18"/>
        <v>0.10292946278431714</v>
      </c>
      <c r="H49" s="3">
        <f t="shared" si="18"/>
        <v>0.24534585138822029</v>
      </c>
      <c r="L49" s="3">
        <f>+L48/H48-1</f>
        <v>0.12745255968297942</v>
      </c>
      <c r="M49" s="3">
        <f>+M48/L48-1</f>
        <v>9.4556365195027858E-2</v>
      </c>
      <c r="N49" s="3">
        <f>+N48/M48-1</f>
        <v>8.2889515455304874E-2</v>
      </c>
      <c r="O49" s="3">
        <f>+O48/N48-1</f>
        <v>4.9458762265242706E-2</v>
      </c>
      <c r="P49" s="3">
        <f>+P48/O48-1</f>
        <v>4.7127875857157608E-2</v>
      </c>
      <c r="U49" s="13" t="s">
        <v>25</v>
      </c>
      <c r="V49" s="14">
        <v>735.7</v>
      </c>
      <c r="W49" s="14">
        <v>761.4</v>
      </c>
      <c r="X49" s="14">
        <v>784.3</v>
      </c>
      <c r="Y49" s="14">
        <v>807.8</v>
      </c>
      <c r="Z49" s="14">
        <v>840.1</v>
      </c>
      <c r="AA49" s="14">
        <v>860.3</v>
      </c>
      <c r="AB49" s="15">
        <v>880.9</v>
      </c>
    </row>
    <row r="50" spans="2:28" x14ac:dyDescent="0.25">
      <c r="H50">
        <f>+H45*(1-I35)</f>
        <v>30.880000000000003</v>
      </c>
      <c r="O50">
        <f>+N45*(1-O35)</f>
        <v>41.478999999999999</v>
      </c>
      <c r="P50" s="22">
        <f>+Q50/O50-1</f>
        <v>9.8917524530485412E-2</v>
      </c>
      <c r="Q50">
        <f>+P45*(1-P35)</f>
        <v>45.582000000000001</v>
      </c>
      <c r="U50" s="13" t="s">
        <v>26</v>
      </c>
      <c r="V50" s="14">
        <v>5.5</v>
      </c>
      <c r="W50" s="14">
        <v>3.5</v>
      </c>
      <c r="X50" s="14">
        <v>3</v>
      </c>
      <c r="Y50" s="14">
        <v>3</v>
      </c>
      <c r="Z50" s="14">
        <v>4</v>
      </c>
      <c r="AA50" s="14">
        <v>2.4</v>
      </c>
      <c r="AB50" s="15">
        <v>2.4</v>
      </c>
    </row>
    <row r="51" spans="2:28" ht="18" x14ac:dyDescent="0.25">
      <c r="P51">
        <v>1.3</v>
      </c>
      <c r="U51" s="13" t="s">
        <v>35</v>
      </c>
      <c r="V51" s="6"/>
      <c r="W51" s="6"/>
      <c r="X51" s="6"/>
      <c r="Y51" s="6"/>
      <c r="Z51" s="6"/>
      <c r="AA51" s="6"/>
      <c r="AB51" s="6"/>
    </row>
    <row r="52" spans="2:28" x14ac:dyDescent="0.25">
      <c r="U52" s="13" t="s">
        <v>23</v>
      </c>
      <c r="V52" s="14">
        <v>3185.6</v>
      </c>
      <c r="W52" s="14">
        <v>3432</v>
      </c>
      <c r="X52" s="14">
        <v>3755.5</v>
      </c>
      <c r="Y52" s="14">
        <v>4081.1</v>
      </c>
      <c r="Z52" s="14">
        <v>4436.8999999999996</v>
      </c>
      <c r="AA52" s="14">
        <v>4821.8999999999996</v>
      </c>
      <c r="AB52" s="15">
        <v>5240.8</v>
      </c>
    </row>
    <row r="53" spans="2:28" x14ac:dyDescent="0.25">
      <c r="B53" t="str">
        <f>+B34</f>
        <v>Agriculture</v>
      </c>
      <c r="D53" s="1">
        <f>+D34/D$44</f>
        <v>0.21220126808649001</v>
      </c>
      <c r="E53" s="1">
        <f t="shared" ref="E53:K53" si="19">+E34/E$44</f>
        <v>0.20568215448357502</v>
      </c>
      <c r="F53" s="1">
        <f t="shared" si="19"/>
        <v>0.21099701888042399</v>
      </c>
      <c r="G53" s="1">
        <f t="shared" si="19"/>
        <v>0.22561768530559168</v>
      </c>
      <c r="H53" s="1">
        <f t="shared" si="19"/>
        <v>0.2033816812244571</v>
      </c>
      <c r="I53" s="1">
        <f>+L34/L$44</f>
        <v>0.19758705389394596</v>
      </c>
      <c r="J53" s="1">
        <f>+M34/M$44</f>
        <v>0.2006317267197005</v>
      </c>
      <c r="K53" s="1">
        <f>+N34/N$44</f>
        <v>0.20167202853828814</v>
      </c>
      <c r="U53" s="13" t="s">
        <v>24</v>
      </c>
      <c r="V53" s="14">
        <v>203.8</v>
      </c>
      <c r="W53" s="14">
        <v>214.2</v>
      </c>
      <c r="X53" s="14">
        <v>226.4</v>
      </c>
      <c r="Y53" s="14">
        <v>237.7</v>
      </c>
      <c r="Z53" s="14">
        <v>249.7</v>
      </c>
      <c r="AA53" s="14">
        <v>262.2</v>
      </c>
      <c r="AB53" s="15">
        <v>275.39999999999998</v>
      </c>
    </row>
    <row r="54" spans="2:28" x14ac:dyDescent="0.25">
      <c r="B54" t="str">
        <f t="shared" ref="B54:B62" si="20">+B35</f>
        <v>Mining</v>
      </c>
      <c r="D54" s="1">
        <f t="shared" ref="D54:K54" si="21">+D35/D$44</f>
        <v>0.19354576491627379</v>
      </c>
      <c r="E54" s="1">
        <f t="shared" si="21"/>
        <v>0.18548387096774194</v>
      </c>
      <c r="F54" s="1">
        <f t="shared" si="21"/>
        <v>0.17731036767141437</v>
      </c>
      <c r="G54" s="1">
        <f t="shared" si="21"/>
        <v>0.15578673602080625</v>
      </c>
      <c r="H54" s="1">
        <f t="shared" si="21"/>
        <v>0.16390202206373375</v>
      </c>
      <c r="I54" s="1">
        <f>+L35/L$44</f>
        <v>0.14463227857246064</v>
      </c>
      <c r="J54" s="1">
        <f>+M35/M$44</f>
        <v>0.10893776321946654</v>
      </c>
      <c r="K54" s="1">
        <f>+N35/N$44</f>
        <v>0.10410785021775765</v>
      </c>
      <c r="U54" s="13" t="s">
        <v>25</v>
      </c>
      <c r="V54" s="14">
        <v>1563.4</v>
      </c>
      <c r="W54" s="14">
        <v>1602.5</v>
      </c>
      <c r="X54" s="14">
        <v>1658.6</v>
      </c>
      <c r="Y54" s="14">
        <v>1716.7</v>
      </c>
      <c r="Z54" s="14">
        <v>1776.8</v>
      </c>
      <c r="AA54" s="14">
        <v>1838.9</v>
      </c>
      <c r="AB54" s="15">
        <v>1903.3</v>
      </c>
    </row>
    <row r="55" spans="2:28" x14ac:dyDescent="0.25">
      <c r="B55" t="str">
        <f t="shared" si="20"/>
        <v>Petroleum</v>
      </c>
      <c r="D55" s="1">
        <f t="shared" ref="D55:K55" si="22">+D36/D$44</f>
        <v>7.7101284344009105E-2</v>
      </c>
      <c r="E55" s="1">
        <f t="shared" si="22"/>
        <v>6.9769162474104765E-2</v>
      </c>
      <c r="F55" s="1">
        <f t="shared" si="22"/>
        <v>7.4163630341172571E-2</v>
      </c>
      <c r="G55" s="1">
        <f t="shared" si="22"/>
        <v>3.3940182054616387E-2</v>
      </c>
      <c r="H55" s="1">
        <f t="shared" si="22"/>
        <v>3.806394743168523E-2</v>
      </c>
      <c r="I55" s="1">
        <f>+L36/L$44</f>
        <v>3.8505996243317436E-2</v>
      </c>
      <c r="J55" s="1">
        <f>+M36/M$44</f>
        <v>3.13523631258774E-2</v>
      </c>
      <c r="K55" s="1">
        <f>+N36/N$44</f>
        <v>2.7662880528746197E-2</v>
      </c>
      <c r="U55" s="13" t="s">
        <v>26</v>
      </c>
      <c r="V55" s="14">
        <v>4</v>
      </c>
      <c r="W55" s="14">
        <v>2.5</v>
      </c>
      <c r="X55" s="14">
        <v>3.5</v>
      </c>
      <c r="Y55" s="14">
        <v>3.5</v>
      </c>
      <c r="Z55" s="14">
        <v>3.5</v>
      </c>
      <c r="AA55" s="14">
        <v>3.5</v>
      </c>
      <c r="AB55" s="15">
        <v>3.5</v>
      </c>
    </row>
    <row r="56" spans="2:28" x14ac:dyDescent="0.25">
      <c r="B56" t="str">
        <f t="shared" si="20"/>
        <v>Manufacturing</v>
      </c>
      <c r="D56" s="1">
        <f t="shared" ref="D56:K56" si="23">+D37/D$44</f>
        <v>2.4630141440416191E-2</v>
      </c>
      <c r="E56" s="1">
        <f t="shared" si="23"/>
        <v>2.6006214856466411E-2</v>
      </c>
      <c r="F56" s="1">
        <f t="shared" si="23"/>
        <v>2.6962570387545546E-2</v>
      </c>
      <c r="G56" s="1">
        <f t="shared" si="23"/>
        <v>2.7633289986996098E-2</v>
      </c>
      <c r="H56" s="1">
        <f t="shared" si="23"/>
        <v>2.601704196383257E-2</v>
      </c>
      <c r="I56" s="1">
        <f>+L37/L$44</f>
        <v>2.6633916100756154E-2</v>
      </c>
      <c r="J56" s="1">
        <f>+M37/M$44</f>
        <v>2.7211043518951802E-2</v>
      </c>
      <c r="K56" s="1">
        <f>+N37/N$44</f>
        <v>2.7247061913203335E-2</v>
      </c>
      <c r="U56" s="16" t="s">
        <v>36</v>
      </c>
      <c r="V56" s="6"/>
      <c r="W56" s="6"/>
      <c r="X56" s="6"/>
      <c r="Y56" s="6"/>
      <c r="Z56" s="6"/>
      <c r="AA56" s="6"/>
      <c r="AB56" s="6"/>
    </row>
    <row r="57" spans="2:28" x14ac:dyDescent="0.25">
      <c r="B57" t="str">
        <f t="shared" si="20"/>
        <v>Utilities</v>
      </c>
      <c r="D57" s="1">
        <f t="shared" ref="D57:K57" si="24">+D38/D$44</f>
        <v>1.0404812225654364E-2</v>
      </c>
      <c r="E57" s="1">
        <f t="shared" si="24"/>
        <v>1.0543060076945842E-2</v>
      </c>
      <c r="F57" s="1">
        <f t="shared" si="24"/>
        <v>1.0367671414375621E-2</v>
      </c>
      <c r="G57" s="1">
        <f t="shared" si="24"/>
        <v>1.1508452535760728E-2</v>
      </c>
      <c r="H57" s="1">
        <f t="shared" si="24"/>
        <v>1.025723215001202E-2</v>
      </c>
      <c r="I57" s="1">
        <f>+L38/L$44</f>
        <v>1.045128353320811E-2</v>
      </c>
      <c r="J57" s="1">
        <f>+M38/M$44</f>
        <v>1.1534861956013102E-2</v>
      </c>
      <c r="K57" s="1">
        <f>+N38/N$44</f>
        <v>1.2233821373076839E-2</v>
      </c>
      <c r="U57" s="13" t="s">
        <v>23</v>
      </c>
      <c r="V57" s="14">
        <v>43279.199999999997</v>
      </c>
      <c r="W57" s="14">
        <v>51024.3</v>
      </c>
      <c r="X57" s="14">
        <v>55123.6</v>
      </c>
      <c r="Y57" s="14">
        <v>58582.8</v>
      </c>
      <c r="Z57" s="14">
        <v>61367.8</v>
      </c>
      <c r="AA57" s="14">
        <v>64849.3</v>
      </c>
      <c r="AB57" s="15">
        <v>68687.5</v>
      </c>
    </row>
    <row r="58" spans="2:28" x14ac:dyDescent="0.25">
      <c r="B58" t="str">
        <f t="shared" si="20"/>
        <v>Construction</v>
      </c>
      <c r="D58" s="1">
        <f t="shared" ref="D58:K58" si="25">+D39/D$44</f>
        <v>5.6982604454560236E-2</v>
      </c>
      <c r="E58" s="1">
        <f t="shared" si="25"/>
        <v>5.9411068363421131E-2</v>
      </c>
      <c r="F58" s="1">
        <f t="shared" si="25"/>
        <v>5.9622391520370986E-2</v>
      </c>
      <c r="G58" s="1">
        <f t="shared" si="25"/>
        <v>7.3862158647594281E-2</v>
      </c>
      <c r="H58" s="1">
        <f t="shared" si="25"/>
        <v>9.8191628602719239E-2</v>
      </c>
      <c r="I58" s="1">
        <f>+L39/L$44</f>
        <v>9.5578673602080624E-2</v>
      </c>
      <c r="J58" s="1">
        <f>+M39/M$44</f>
        <v>0.10481984089845578</v>
      </c>
      <c r="K58" s="1">
        <f>+N39/N$44</f>
        <v>9.9205567592410213E-2</v>
      </c>
      <c r="U58" s="13" t="s">
        <v>24</v>
      </c>
      <c r="V58" s="14">
        <v>264.2</v>
      </c>
      <c r="W58" s="14">
        <v>283.39999999999998</v>
      </c>
      <c r="X58" s="14">
        <v>293.60000000000002</v>
      </c>
      <c r="Y58" s="14">
        <v>304.60000000000002</v>
      </c>
      <c r="Z58" s="14">
        <v>312.89999999999998</v>
      </c>
      <c r="AA58" s="14">
        <v>322</v>
      </c>
      <c r="AB58" s="15">
        <v>332.4</v>
      </c>
    </row>
    <row r="59" spans="2:28" x14ac:dyDescent="0.25">
      <c r="B59" t="str">
        <f t="shared" si="20"/>
        <v>W and R Trade</v>
      </c>
      <c r="D59" s="1">
        <f t="shared" ref="D59:K59" si="26">+D40/D$44</f>
        <v>0.12091529832547553</v>
      </c>
      <c r="E59" s="1">
        <f t="shared" si="26"/>
        <v>0.11926605504587157</v>
      </c>
      <c r="F59" s="1">
        <f t="shared" si="26"/>
        <v>0.12292149718449817</v>
      </c>
      <c r="G59" s="1">
        <f t="shared" si="26"/>
        <v>0.13176202860858258</v>
      </c>
      <c r="H59" s="1">
        <f t="shared" si="26"/>
        <v>0.11787803509896626</v>
      </c>
      <c r="I59" s="1">
        <f>+L40/L$44</f>
        <v>0.11797428117324087</v>
      </c>
      <c r="J59" s="1">
        <f>+M40/M$44</f>
        <v>0.1228591483387927</v>
      </c>
      <c r="K59" s="1">
        <f>+N40/N$44</f>
        <v>0.12387017705118945</v>
      </c>
      <c r="U59" s="13" t="s">
        <v>25</v>
      </c>
      <c r="V59" s="14">
        <v>16383</v>
      </c>
      <c r="W59" s="14">
        <v>18003.5</v>
      </c>
      <c r="X59" s="14">
        <v>18776</v>
      </c>
      <c r="Y59" s="14">
        <v>19232.599999999999</v>
      </c>
      <c r="Z59" s="14">
        <v>19612.099999999999</v>
      </c>
      <c r="AA59" s="14">
        <v>20142</v>
      </c>
      <c r="AB59" s="15">
        <v>20662.2</v>
      </c>
    </row>
    <row r="60" spans="2:28" x14ac:dyDescent="0.25">
      <c r="B60" t="str">
        <f t="shared" si="20"/>
        <v>Transport storage and communication</v>
      </c>
      <c r="D60" s="1">
        <f t="shared" ref="D60:K60" si="27">+D41/D$44</f>
        <v>3.6010404812225658E-2</v>
      </c>
      <c r="E60" s="1">
        <f t="shared" si="27"/>
        <v>3.4403669724770644E-2</v>
      </c>
      <c r="F60" s="1">
        <f t="shared" si="27"/>
        <v>4.0940708843988073E-2</v>
      </c>
      <c r="G60" s="1">
        <f t="shared" si="27"/>
        <v>4.632639791937581E-2</v>
      </c>
      <c r="H60" s="1">
        <f t="shared" si="27"/>
        <v>4.8347891123754573E-2</v>
      </c>
      <c r="I60" s="1">
        <f>+L41/L$44</f>
        <v>4.9318499253479746E-2</v>
      </c>
      <c r="J60" s="1">
        <f>+M41/M$44</f>
        <v>5.011698642957417E-2</v>
      </c>
      <c r="K60" s="1">
        <f>+N41/N$44</f>
        <v>5.0598559954478803E-2</v>
      </c>
      <c r="U60" s="13" t="s">
        <v>26</v>
      </c>
      <c r="V60" s="14">
        <v>13.3</v>
      </c>
      <c r="W60" s="14">
        <v>9.9</v>
      </c>
      <c r="X60" s="14">
        <v>4.3</v>
      </c>
      <c r="Y60" s="14">
        <v>2.4</v>
      </c>
      <c r="Z60" s="14">
        <v>2</v>
      </c>
      <c r="AA60" s="14">
        <v>2.7</v>
      </c>
      <c r="AB60" s="15">
        <v>2.6</v>
      </c>
    </row>
    <row r="61" spans="2:28" x14ac:dyDescent="0.25">
      <c r="B61" t="str">
        <f t="shared" si="20"/>
        <v>Finance, real estate and business services</v>
      </c>
      <c r="D61" s="1">
        <f t="shared" ref="D61:K61" si="28">+D42/D$44</f>
        <v>0.12213461225816941</v>
      </c>
      <c r="E61" s="1">
        <f t="shared" si="28"/>
        <v>0.12577685705830127</v>
      </c>
      <c r="F61" s="1">
        <f t="shared" si="28"/>
        <v>0.12686319973501159</v>
      </c>
      <c r="G61" s="1">
        <f t="shared" si="28"/>
        <v>0.13257477243172952</v>
      </c>
      <c r="H61" s="1">
        <f t="shared" si="28"/>
        <v>0.13238240243609264</v>
      </c>
      <c r="I61" s="1">
        <f>+L42/L$44</f>
        <v>0.14333188845542552</v>
      </c>
      <c r="J61" s="1">
        <f>+M42/M$44</f>
        <v>0.15563874590547497</v>
      </c>
      <c r="K61" s="1">
        <f>+N42/N$44</f>
        <v>0.16035278926750268</v>
      </c>
      <c r="U61" s="16" t="s">
        <v>37</v>
      </c>
      <c r="V61" s="6"/>
      <c r="W61" s="6"/>
      <c r="X61" s="6"/>
      <c r="Y61" s="6"/>
      <c r="Z61" s="6"/>
      <c r="AA61" s="6"/>
      <c r="AB61" s="6"/>
    </row>
    <row r="62" spans="2:28" x14ac:dyDescent="0.25">
      <c r="B62" t="str">
        <f t="shared" si="20"/>
        <v>Community, social and personal services</v>
      </c>
      <c r="D62" s="1">
        <f t="shared" ref="D62:K62" si="29">+D43/D$44</f>
        <v>0.14607380913672574</v>
      </c>
      <c r="E62" s="1">
        <f t="shared" si="29"/>
        <v>0.16365788694880143</v>
      </c>
      <c r="F62" s="1">
        <f t="shared" si="29"/>
        <v>0.14985094402119908</v>
      </c>
      <c r="G62" s="1">
        <f t="shared" si="29"/>
        <v>0.16098829648894669</v>
      </c>
      <c r="H62" s="1">
        <f t="shared" si="29"/>
        <v>0.16157811790474663</v>
      </c>
      <c r="I62" s="1">
        <f>+L43/L$44</f>
        <v>0.17598612917208495</v>
      </c>
      <c r="J62" s="1">
        <f>+M43/M$44</f>
        <v>0.18689751988769301</v>
      </c>
      <c r="K62" s="1">
        <f>+N43/N$44</f>
        <v>0.19304926356334667</v>
      </c>
      <c r="U62" s="13" t="s">
        <v>23</v>
      </c>
      <c r="V62" s="14">
        <v>31755</v>
      </c>
      <c r="W62" s="14">
        <v>33931</v>
      </c>
      <c r="X62" s="14">
        <v>36975.1</v>
      </c>
      <c r="Y62" s="14">
        <v>40126.1</v>
      </c>
      <c r="Z62" s="14">
        <v>43472.3</v>
      </c>
      <c r="AA62" s="14">
        <v>46957.5</v>
      </c>
      <c r="AB62" s="15">
        <v>50762.9</v>
      </c>
    </row>
    <row r="63" spans="2:28" x14ac:dyDescent="0.25">
      <c r="U63" s="13" t="s">
        <v>24</v>
      </c>
      <c r="V63" s="14">
        <v>230.6</v>
      </c>
      <c r="W63" s="14">
        <v>240.6</v>
      </c>
      <c r="X63" s="14">
        <v>253.5</v>
      </c>
      <c r="Y63" s="14">
        <v>265.5</v>
      </c>
      <c r="Z63" s="14">
        <v>277.60000000000002</v>
      </c>
      <c r="AA63" s="14">
        <v>289.60000000000002</v>
      </c>
      <c r="AB63" s="15">
        <v>303</v>
      </c>
    </row>
    <row r="64" spans="2:28" x14ac:dyDescent="0.25">
      <c r="U64" s="13" t="s">
        <v>25</v>
      </c>
      <c r="V64" s="14">
        <v>13773.1</v>
      </c>
      <c r="W64" s="14">
        <v>14104.7</v>
      </c>
      <c r="X64" s="14">
        <v>14586.3</v>
      </c>
      <c r="Y64" s="14">
        <v>15112.1</v>
      </c>
      <c r="Z64" s="14">
        <v>15658.8</v>
      </c>
      <c r="AA64" s="14">
        <v>16217</v>
      </c>
      <c r="AB64" s="15">
        <v>16754.3</v>
      </c>
    </row>
    <row r="65" spans="2:28" x14ac:dyDescent="0.25">
      <c r="U65" s="17" t="s">
        <v>26</v>
      </c>
      <c r="V65" s="18">
        <v>1.2</v>
      </c>
      <c r="W65" s="18">
        <v>2.4</v>
      </c>
      <c r="X65" s="18">
        <v>3.4</v>
      </c>
      <c r="Y65" s="18">
        <v>3.6</v>
      </c>
      <c r="Z65" s="18">
        <v>3.6</v>
      </c>
      <c r="AA65" s="18">
        <v>3.6</v>
      </c>
      <c r="AB65" s="19">
        <v>3.3</v>
      </c>
    </row>
    <row r="66" spans="2:28" ht="25.5" x14ac:dyDescent="0.25">
      <c r="U66" s="20" t="s">
        <v>38</v>
      </c>
      <c r="V66" s="8"/>
      <c r="W66" s="8"/>
      <c r="X66" s="8"/>
      <c r="Y66" s="8"/>
      <c r="Z66" s="8"/>
      <c r="AA66" s="8"/>
      <c r="AB66" s="8"/>
    </row>
    <row r="67" spans="2:28" x14ac:dyDescent="0.25">
      <c r="W67">
        <f>+W63/V63-1</f>
        <v>4.3365134431916808E-2</v>
      </c>
      <c r="X67">
        <f t="shared" ref="X67:AB67" si="30">+X63/W63-1</f>
        <v>5.3615960099750559E-2</v>
      </c>
      <c r="Y67">
        <f t="shared" si="30"/>
        <v>4.7337278106508895E-2</v>
      </c>
      <c r="Z67">
        <f t="shared" si="30"/>
        <v>4.5574387947269424E-2</v>
      </c>
      <c r="AA67">
        <f t="shared" si="30"/>
        <v>4.3227665706051965E-2</v>
      </c>
      <c r="AB67">
        <f t="shared" si="30"/>
        <v>4.6270718232044095E-2</v>
      </c>
    </row>
    <row r="69" spans="2:28" x14ac:dyDescent="0.25">
      <c r="C69" t="s">
        <v>45</v>
      </c>
      <c r="D69" t="s">
        <v>46</v>
      </c>
      <c r="E69" t="s">
        <v>49</v>
      </c>
      <c r="F69" t="s">
        <v>47</v>
      </c>
      <c r="G69" t="s">
        <v>48</v>
      </c>
    </row>
    <row r="70" spans="2:28" x14ac:dyDescent="0.25">
      <c r="B70" t="s">
        <v>0</v>
      </c>
      <c r="C70" s="2">
        <f>+M18</f>
        <v>0.21026648087283903</v>
      </c>
      <c r="D70" s="2">
        <f>+P34</f>
        <v>0.17</v>
      </c>
      <c r="E70" s="22">
        <f>+O18</f>
        <v>4.9348598499802554E-2</v>
      </c>
      <c r="F70">
        <f>+E70*C70</f>
        <v>1.0376356142560146E-2</v>
      </c>
      <c r="G70">
        <f>+E70*D70</f>
        <v>8.3892617449664343E-3</v>
      </c>
    </row>
    <row r="71" spans="2:28" x14ac:dyDescent="0.25">
      <c r="B71" t="s">
        <v>43</v>
      </c>
      <c r="C71" s="2">
        <f>+M20+M19</f>
        <v>0.33500116611104902</v>
      </c>
      <c r="D71" s="2">
        <f>+P35</f>
        <v>0.28999999999999998</v>
      </c>
      <c r="E71" s="3">
        <f>+(O19*M19/(M19+M20)+O20*M20/(M19+M20))</f>
        <v>-1.2012266546648579E-2</v>
      </c>
      <c r="F71">
        <f t="shared" ref="F71:F73" si="31">+E71*C71</f>
        <v>-4.024123300764018E-3</v>
      </c>
      <c r="G71">
        <f t="shared" ref="G71:G73" si="32">+E71*D71</f>
        <v>-3.4835572985280876E-3</v>
      </c>
    </row>
    <row r="72" spans="2:28" x14ac:dyDescent="0.25">
      <c r="B72" t="s">
        <v>5</v>
      </c>
      <c r="C72" s="2">
        <f>+M23</f>
        <v>0.15151800220679165</v>
      </c>
      <c r="D72" s="2">
        <f>+P39</f>
        <v>0.08</v>
      </c>
      <c r="E72" s="22">
        <f>+O23</f>
        <v>5.7048367093840424E-2</v>
      </c>
      <c r="F72">
        <f t="shared" si="31"/>
        <v>8.643854611218374E-3</v>
      </c>
      <c r="G72">
        <f t="shared" si="32"/>
        <v>4.5638693675072338E-3</v>
      </c>
    </row>
    <row r="73" spans="2:28" x14ac:dyDescent="0.25">
      <c r="B73" t="s">
        <v>44</v>
      </c>
      <c r="C73" s="2">
        <f>+M21+M22+M24+M25+M26+M27</f>
        <v>0.29071638415421674</v>
      </c>
      <c r="D73" s="2">
        <f>+P43</f>
        <v>0.46</v>
      </c>
      <c r="E73" s="22">
        <f>+O24</f>
        <v>5.7433660487095528E-2</v>
      </c>
      <c r="F73">
        <f t="shared" si="31"/>
        <v>1.6696906105549324E-2</v>
      </c>
      <c r="G73">
        <f t="shared" si="32"/>
        <v>2.6419483824063943E-2</v>
      </c>
    </row>
    <row r="74" spans="2:28" x14ac:dyDescent="0.25">
      <c r="F74" s="3">
        <f>SUM(F70:F73)</f>
        <v>3.1692993558563823E-2</v>
      </c>
      <c r="G74" s="3">
        <f>SUM(G70:G73)</f>
        <v>3.5889057638009522E-2</v>
      </c>
    </row>
    <row r="77" spans="2:28" ht="15" customHeight="1" x14ac:dyDescent="0.25"/>
    <row r="78" spans="2:28" ht="15" customHeight="1" x14ac:dyDescent="0.25"/>
    <row r="80" spans="2:28" x14ac:dyDescent="0.25">
      <c r="B80" t="s">
        <v>12</v>
      </c>
    </row>
    <row r="81" spans="2:21" x14ac:dyDescent="0.25">
      <c r="B81" t="s">
        <v>0</v>
      </c>
      <c r="D81" s="1">
        <v>0.98004617723800047</v>
      </c>
      <c r="E81" s="1">
        <v>0.94210142840198585</v>
      </c>
      <c r="F81" s="1">
        <v>0.92095941706305029</v>
      </c>
      <c r="G81" s="1">
        <v>0.96283244773096188</v>
      </c>
      <c r="H81" s="1">
        <v>0.93919994079117797</v>
      </c>
      <c r="I81" s="1">
        <v>0.8750599904015357</v>
      </c>
      <c r="J81" s="1">
        <v>0.95642281138115248</v>
      </c>
      <c r="K81" s="1">
        <v>0.99977216261079949</v>
      </c>
    </row>
    <row r="82" spans="2:21" x14ac:dyDescent="0.25">
      <c r="B82" t="s">
        <v>1</v>
      </c>
      <c r="D82" s="1">
        <v>1.7171498629741815</v>
      </c>
      <c r="E82" s="1">
        <v>1.6590563165905632</v>
      </c>
      <c r="F82" s="1">
        <v>1.7068971014954881</v>
      </c>
      <c r="G82" s="1">
        <v>1.5773535220539829</v>
      </c>
      <c r="H82" s="1">
        <v>1.5582304840266137</v>
      </c>
      <c r="I82" s="1">
        <v>1.5779103065969575</v>
      </c>
      <c r="J82" s="1">
        <v>1.4215925744992672</v>
      </c>
      <c r="K82" s="1">
        <v>1.4109446833753523</v>
      </c>
    </row>
    <row r="83" spans="2:21" x14ac:dyDescent="0.25">
      <c r="B83" t="s">
        <v>2</v>
      </c>
      <c r="D83" s="1">
        <v>0.83586693104207976</v>
      </c>
      <c r="E83" s="1">
        <v>0.77975772108984176</v>
      </c>
      <c r="F83" s="1">
        <v>0.81158474699144545</v>
      </c>
      <c r="G83" s="1">
        <v>0.62257737491800347</v>
      </c>
      <c r="H83" s="1">
        <v>0.72006063668519449</v>
      </c>
      <c r="I83" s="1">
        <v>0.85847739718672822</v>
      </c>
      <c r="J83" s="1">
        <v>1.0148439866707057</v>
      </c>
      <c r="K83" s="1">
        <v>0.95591015654541334</v>
      </c>
    </row>
    <row r="84" spans="2:21" x14ac:dyDescent="0.25">
      <c r="B84" t="s">
        <v>3</v>
      </c>
      <c r="D84" s="1">
        <v>0.62172976300400118</v>
      </c>
      <c r="E84" s="1">
        <v>0.6605901146401052</v>
      </c>
      <c r="F84" s="1">
        <v>0.6524527092016672</v>
      </c>
      <c r="G84" s="1">
        <v>0.63967489464178207</v>
      </c>
      <c r="H84" s="1">
        <v>0.60373148205541438</v>
      </c>
      <c r="I84" s="1">
        <v>0.55915065722952473</v>
      </c>
      <c r="J84" s="1">
        <v>0.50653310104529614</v>
      </c>
      <c r="K84" s="1">
        <v>0.50382420784266113</v>
      </c>
    </row>
    <row r="85" spans="2:21" x14ac:dyDescent="0.25">
      <c r="B85" t="s">
        <v>4</v>
      </c>
      <c r="D85" s="1">
        <v>0.75806929227124664</v>
      </c>
      <c r="E85" s="1">
        <v>0.78772802653399665</v>
      </c>
      <c r="F85" s="1">
        <v>0.77456075228903731</v>
      </c>
      <c r="G85" s="1">
        <v>0.76673164392462645</v>
      </c>
      <c r="H85" s="1">
        <v>0.71375464684014867</v>
      </c>
      <c r="I85" s="1">
        <v>0.67897371714643295</v>
      </c>
      <c r="J85" s="1">
        <v>0.68912496505451493</v>
      </c>
      <c r="K85" s="1">
        <v>0.68935750400789253</v>
      </c>
    </row>
    <row r="86" spans="2:21" x14ac:dyDescent="0.25">
      <c r="B86" t="s">
        <v>5</v>
      </c>
      <c r="D86" s="1">
        <v>0.97550793209017528</v>
      </c>
      <c r="E86" s="1">
        <v>0.91755699023024628</v>
      </c>
      <c r="F86" s="1">
        <v>0.8085526906836763</v>
      </c>
      <c r="G86" s="1">
        <v>0.78013940871476151</v>
      </c>
      <c r="H86" s="1">
        <v>1.0121145374449338</v>
      </c>
      <c r="I86" s="1">
        <v>0.79934747145187601</v>
      </c>
      <c r="J86" s="1">
        <v>0.70210631895687059</v>
      </c>
      <c r="K86" s="1">
        <v>0.61032421370099099</v>
      </c>
    </row>
    <row r="87" spans="2:21" x14ac:dyDescent="0.25">
      <c r="B87" t="s">
        <v>6</v>
      </c>
      <c r="D87" s="1">
        <v>2.8633301251203078</v>
      </c>
      <c r="E87" s="1">
        <v>2.7384693790877432</v>
      </c>
      <c r="F87" s="1">
        <v>2.6634608483456543</v>
      </c>
      <c r="G87" s="1">
        <v>2.4990751017388089</v>
      </c>
      <c r="H87" s="1">
        <v>2.2691279308926369</v>
      </c>
      <c r="I87" s="1">
        <v>1.9675488975460862</v>
      </c>
      <c r="J87" s="1">
        <v>1.6957855643468431</v>
      </c>
      <c r="K87" s="1">
        <v>1.6740114164029458</v>
      </c>
    </row>
    <row r="88" spans="2:21" x14ac:dyDescent="0.25">
      <c r="B88" t="s">
        <v>7</v>
      </c>
      <c r="D88" s="1">
        <v>2.7161250766400982</v>
      </c>
      <c r="E88" s="1">
        <v>2.5535420098846786</v>
      </c>
      <c r="F88" s="1">
        <v>2.8071769248239837</v>
      </c>
      <c r="G88" s="1">
        <v>2.3604439291038593</v>
      </c>
      <c r="H88" s="1">
        <v>2.3439523439523438</v>
      </c>
      <c r="I88" s="1">
        <v>2.1072126762012555</v>
      </c>
      <c r="J88" s="1">
        <v>1.8332762752482026</v>
      </c>
      <c r="K88" s="1">
        <v>1.8368157622944308</v>
      </c>
    </row>
    <row r="89" spans="2:21" x14ac:dyDescent="0.25">
      <c r="B89" t="s">
        <v>8</v>
      </c>
      <c r="D89" s="1">
        <v>5.1863997238522614</v>
      </c>
      <c r="E89" s="1">
        <v>5.3241465706232383</v>
      </c>
      <c r="F89" s="1">
        <v>5.0394736842105265</v>
      </c>
      <c r="G89" s="1">
        <v>4.3703783088629296</v>
      </c>
      <c r="H89" s="1">
        <v>4.5711123408965131</v>
      </c>
      <c r="I89" s="1">
        <v>4.2164919240578067</v>
      </c>
      <c r="J89" s="1">
        <v>4.1337310464827244</v>
      </c>
      <c r="K89" s="1">
        <v>4.1306798962678997</v>
      </c>
    </row>
    <row r="90" spans="2:21" x14ac:dyDescent="0.25">
      <c r="B90" t="s">
        <v>9</v>
      </c>
      <c r="D90" s="1">
        <v>2.3539428870840977</v>
      </c>
      <c r="E90" s="1">
        <v>2.7058103975535168</v>
      </c>
      <c r="F90" s="1">
        <v>2.4873542995381572</v>
      </c>
      <c r="G90" s="1">
        <v>2.4635590269140839</v>
      </c>
      <c r="H90" s="1">
        <v>2.7353712580265892</v>
      </c>
      <c r="I90" s="1">
        <v>2.9008057793831616</v>
      </c>
      <c r="J90" s="1">
        <v>2.9965862625201636</v>
      </c>
      <c r="K90" s="1">
        <v>3.0019738633269806</v>
      </c>
      <c r="O90" s="36"/>
      <c r="P90" s="36"/>
      <c r="Q90" s="36"/>
      <c r="R90" s="36"/>
      <c r="S90" s="36"/>
      <c r="T90" s="36"/>
      <c r="U90" s="36"/>
    </row>
    <row r="91" spans="2:21" x14ac:dyDescent="0.25">
      <c r="D91" s="1">
        <v>1.4829726960400214</v>
      </c>
      <c r="E91" s="1">
        <v>1.47441911203229</v>
      </c>
      <c r="F91" s="1">
        <v>1.4306768584819378</v>
      </c>
      <c r="G91" s="1">
        <v>1.411378204392892</v>
      </c>
      <c r="H91" s="1">
        <v>1.4499450030209606</v>
      </c>
      <c r="I91" s="1">
        <v>1.3832501682178238</v>
      </c>
      <c r="J91" s="1">
        <v>1.3571140528302843</v>
      </c>
      <c r="K91" s="1">
        <v>1.3450154685756843</v>
      </c>
      <c r="O91" s="39"/>
      <c r="P91" s="39"/>
      <c r="Q91" s="39"/>
      <c r="R91" s="39"/>
      <c r="S91" s="39"/>
      <c r="T91" s="39"/>
      <c r="U91" s="39"/>
    </row>
    <row r="92" spans="2:21" x14ac:dyDescent="0.25">
      <c r="O92" s="39"/>
      <c r="P92" s="39"/>
      <c r="Q92" s="39"/>
      <c r="R92" s="39"/>
      <c r="S92" s="39"/>
      <c r="T92" s="39"/>
      <c r="U92" s="39"/>
    </row>
    <row r="93" spans="2:21" x14ac:dyDescent="0.25">
      <c r="O93" s="39"/>
      <c r="P93" s="39"/>
      <c r="Q93" s="39"/>
      <c r="R93" s="39"/>
      <c r="S93" s="39"/>
      <c r="T93" s="39"/>
      <c r="U93" s="39"/>
    </row>
    <row r="94" spans="2:21" x14ac:dyDescent="0.25">
      <c r="O94" s="39"/>
      <c r="P94" s="39"/>
      <c r="Q94" s="39"/>
      <c r="R94" s="39"/>
      <c r="S94" s="39"/>
      <c r="T94" s="39"/>
      <c r="U94" s="39"/>
    </row>
    <row r="95" spans="2:21" x14ac:dyDescent="0.25">
      <c r="O95" s="39"/>
      <c r="P95" s="39"/>
      <c r="Q95" s="39"/>
      <c r="R95" s="39"/>
      <c r="S95" s="39"/>
      <c r="T95" s="39"/>
      <c r="U95" s="39"/>
    </row>
    <row r="96" spans="2:21" x14ac:dyDescent="0.25">
      <c r="L96" t="s">
        <v>72</v>
      </c>
      <c r="M96" t="s">
        <v>94</v>
      </c>
      <c r="O96" s="39"/>
      <c r="P96" s="39"/>
      <c r="Q96" s="39"/>
      <c r="R96" s="39"/>
      <c r="S96" s="39"/>
      <c r="T96" s="39"/>
      <c r="U96" s="39"/>
    </row>
    <row r="97" spans="2:21" ht="15" customHeight="1" x14ac:dyDescent="0.25">
      <c r="B97" s="41" t="s">
        <v>51</v>
      </c>
      <c r="C97" s="41"/>
      <c r="D97" s="41"/>
      <c r="E97" s="41"/>
      <c r="F97" s="41"/>
      <c r="G97" s="41"/>
      <c r="H97" s="41"/>
      <c r="I97" s="41"/>
      <c r="O97" s="39"/>
      <c r="P97" s="39"/>
      <c r="Q97" s="39"/>
      <c r="R97" s="39"/>
      <c r="S97" s="39"/>
      <c r="T97" s="39"/>
      <c r="U97" s="39"/>
    </row>
    <row r="98" spans="2:21" ht="60" x14ac:dyDescent="0.25">
      <c r="B98" s="42" t="s">
        <v>52</v>
      </c>
      <c r="C98" s="42"/>
      <c r="D98" s="42"/>
      <c r="E98" s="42"/>
      <c r="F98" s="42"/>
      <c r="G98" s="42"/>
      <c r="H98" s="42"/>
      <c r="I98" s="42"/>
      <c r="O98" s="39"/>
      <c r="P98" s="39"/>
      <c r="Q98" s="39"/>
      <c r="R98" s="39"/>
      <c r="S98" s="39"/>
      <c r="T98" s="39"/>
      <c r="U98" s="39"/>
    </row>
    <row r="99" spans="2:21" ht="15" customHeight="1" x14ac:dyDescent="0.25">
      <c r="B99" s="37"/>
      <c r="C99" s="43">
        <v>2014</v>
      </c>
      <c r="D99" s="43">
        <v>2015</v>
      </c>
      <c r="E99" s="43">
        <v>2016</v>
      </c>
      <c r="F99" s="43">
        <v>2017</v>
      </c>
      <c r="G99" s="43">
        <v>2018</v>
      </c>
      <c r="H99" s="43">
        <v>2019</v>
      </c>
      <c r="I99" s="43">
        <v>2020</v>
      </c>
      <c r="O99" s="39"/>
      <c r="P99" s="39"/>
      <c r="Q99" s="39"/>
      <c r="R99" s="39"/>
      <c r="S99" s="39"/>
      <c r="T99" s="39"/>
      <c r="U99" s="39"/>
    </row>
    <row r="100" spans="2:21" x14ac:dyDescent="0.25">
      <c r="B100" s="38"/>
      <c r="C100" s="44" t="s">
        <v>53</v>
      </c>
      <c r="D100" s="44" t="s">
        <v>53</v>
      </c>
      <c r="E100" s="44" t="s">
        <v>54</v>
      </c>
      <c r="F100" s="44" t="s">
        <v>54</v>
      </c>
      <c r="G100" s="44" t="s">
        <v>54</v>
      </c>
      <c r="H100" s="44" t="s">
        <v>54</v>
      </c>
      <c r="I100" s="44" t="s">
        <v>54</v>
      </c>
      <c r="O100" s="46"/>
      <c r="P100" s="46"/>
      <c r="Q100" s="46"/>
      <c r="R100" s="46"/>
      <c r="S100" s="46"/>
      <c r="T100" s="46"/>
      <c r="U100" s="46"/>
    </row>
    <row r="101" spans="2:21" ht="24" x14ac:dyDescent="0.25">
      <c r="B101" s="45" t="s">
        <v>55</v>
      </c>
      <c r="C101" s="37"/>
      <c r="D101" s="37"/>
      <c r="E101" s="37"/>
      <c r="F101" s="37"/>
      <c r="G101" s="37"/>
      <c r="H101" s="37"/>
      <c r="I101" s="37"/>
    </row>
    <row r="102" spans="2:21" x14ac:dyDescent="0.25">
      <c r="B102" s="40" t="s">
        <v>56</v>
      </c>
      <c r="C102" s="32">
        <v>975</v>
      </c>
      <c r="D102" s="32">
        <v>1088</v>
      </c>
      <c r="E102" s="32">
        <v>1128</v>
      </c>
      <c r="F102" s="32">
        <v>1128</v>
      </c>
      <c r="G102" s="32">
        <v>1128</v>
      </c>
      <c r="H102" s="32">
        <v>1128</v>
      </c>
      <c r="I102" s="32">
        <v>1128</v>
      </c>
      <c r="L102" s="3">
        <f>+E102/D102-1</f>
        <v>3.6764705882353033E-2</v>
      </c>
    </row>
    <row r="103" spans="2:21" x14ac:dyDescent="0.25">
      <c r="B103" s="40" t="s">
        <v>57</v>
      </c>
      <c r="C103" s="32">
        <v>7344</v>
      </c>
      <c r="D103" s="32">
        <v>8320</v>
      </c>
      <c r="E103" s="32">
        <v>8791</v>
      </c>
      <c r="F103" s="32">
        <v>8632</v>
      </c>
      <c r="G103" s="32">
        <v>8321</v>
      </c>
      <c r="H103" s="32">
        <v>7998</v>
      </c>
      <c r="I103" s="32">
        <v>7687</v>
      </c>
      <c r="L103" s="3">
        <f t="shared" ref="L103:L116" si="33">+E103/D103-1</f>
        <v>5.6610576923076916E-2</v>
      </c>
    </row>
    <row r="104" spans="2:21" x14ac:dyDescent="0.25">
      <c r="B104" s="40" t="s">
        <v>58</v>
      </c>
      <c r="C104" s="32">
        <v>10970</v>
      </c>
      <c r="D104" s="32">
        <v>9314</v>
      </c>
      <c r="E104" s="32">
        <v>9068</v>
      </c>
      <c r="F104" s="32">
        <v>9412</v>
      </c>
      <c r="G104" s="32">
        <v>9773</v>
      </c>
      <c r="H104" s="32">
        <v>9773</v>
      </c>
      <c r="I104" s="32">
        <v>9773</v>
      </c>
      <c r="L104" s="3">
        <f t="shared" si="33"/>
        <v>-2.6411853124328921E-2</v>
      </c>
    </row>
    <row r="105" spans="2:21" x14ac:dyDescent="0.25">
      <c r="B105" s="40" t="s">
        <v>59</v>
      </c>
      <c r="C105" s="32">
        <v>1972</v>
      </c>
      <c r="D105" s="32">
        <v>1657</v>
      </c>
      <c r="E105" s="32">
        <v>1641</v>
      </c>
      <c r="F105" s="32">
        <v>1675</v>
      </c>
      <c r="G105" s="32">
        <v>1556</v>
      </c>
      <c r="H105" s="32">
        <v>1432</v>
      </c>
      <c r="I105" s="32">
        <v>1315</v>
      </c>
      <c r="L105" s="3">
        <f t="shared" si="33"/>
        <v>-9.6560048280024402E-3</v>
      </c>
    </row>
    <row r="106" spans="2:21" x14ac:dyDescent="0.25">
      <c r="B106" s="40" t="s">
        <v>60</v>
      </c>
      <c r="C106" s="32">
        <v>4390</v>
      </c>
      <c r="D106" s="32">
        <v>4402</v>
      </c>
      <c r="E106" s="32">
        <v>4963</v>
      </c>
      <c r="F106" s="32">
        <v>4353</v>
      </c>
      <c r="G106" s="32">
        <v>3967</v>
      </c>
      <c r="H106" s="32">
        <v>3530</v>
      </c>
      <c r="I106" s="32">
        <v>3145</v>
      </c>
      <c r="L106" s="3">
        <f t="shared" si="33"/>
        <v>0.127442071785552</v>
      </c>
    </row>
    <row r="107" spans="2:21" x14ac:dyDescent="0.25">
      <c r="B107" s="40" t="s">
        <v>61</v>
      </c>
      <c r="C107" s="32">
        <v>3529</v>
      </c>
      <c r="D107" s="32">
        <v>5907</v>
      </c>
      <c r="E107" s="32">
        <v>6897</v>
      </c>
      <c r="F107" s="32">
        <v>6897</v>
      </c>
      <c r="G107" s="32">
        <v>6897</v>
      </c>
      <c r="H107" s="32">
        <v>6897</v>
      </c>
      <c r="I107" s="32">
        <v>6897</v>
      </c>
      <c r="L107" s="3">
        <f t="shared" si="33"/>
        <v>0.16759776536312843</v>
      </c>
    </row>
    <row r="108" spans="2:21" x14ac:dyDescent="0.25">
      <c r="B108" s="40" t="s">
        <v>62</v>
      </c>
      <c r="C108" s="32">
        <v>2119</v>
      </c>
      <c r="D108" s="32">
        <v>2362</v>
      </c>
      <c r="E108" s="32">
        <v>2450</v>
      </c>
      <c r="F108" s="32">
        <v>2450</v>
      </c>
      <c r="G108" s="32">
        <v>2450</v>
      </c>
      <c r="H108" s="32">
        <v>2450</v>
      </c>
      <c r="I108" s="32">
        <v>2450</v>
      </c>
      <c r="L108" s="3">
        <f t="shared" si="33"/>
        <v>3.7256562235393753E-2</v>
      </c>
    </row>
    <row r="109" spans="2:21" ht="24" x14ac:dyDescent="0.25">
      <c r="B109" s="40" t="s">
        <v>63</v>
      </c>
      <c r="C109" s="32">
        <v>214</v>
      </c>
      <c r="D109" s="32">
        <v>207</v>
      </c>
      <c r="E109" s="32">
        <v>221</v>
      </c>
      <c r="F109" s="32">
        <v>221</v>
      </c>
      <c r="G109" s="32">
        <v>221</v>
      </c>
      <c r="H109" s="32">
        <v>221</v>
      </c>
      <c r="I109" s="32">
        <v>221</v>
      </c>
      <c r="L109" s="3">
        <f t="shared" si="33"/>
        <v>6.7632850241545972E-2</v>
      </c>
    </row>
    <row r="110" spans="2:21" ht="24" x14ac:dyDescent="0.25">
      <c r="B110" s="41" t="s">
        <v>64</v>
      </c>
      <c r="C110" s="36"/>
      <c r="D110" s="36"/>
      <c r="E110" s="36"/>
      <c r="F110" s="36"/>
      <c r="G110" s="36"/>
      <c r="H110" s="36"/>
      <c r="I110" s="36"/>
      <c r="L110" s="3"/>
      <c r="N110" s="41" t="s">
        <v>95</v>
      </c>
    </row>
    <row r="111" spans="2:21" ht="24" x14ac:dyDescent="0.25">
      <c r="B111" s="40" t="s">
        <v>65</v>
      </c>
      <c r="C111" s="32">
        <v>1266</v>
      </c>
      <c r="D111" s="32">
        <v>1176</v>
      </c>
      <c r="E111" s="32">
        <v>1157</v>
      </c>
      <c r="F111" s="32">
        <v>1194</v>
      </c>
      <c r="G111" s="32">
        <v>1200</v>
      </c>
      <c r="H111" s="32">
        <v>1225</v>
      </c>
      <c r="I111" s="32">
        <v>1249</v>
      </c>
      <c r="L111" s="3">
        <f t="shared" si="33"/>
        <v>-1.6156462585034004E-2</v>
      </c>
      <c r="M111" s="1">
        <f>+E136/E$145</f>
        <v>0.25085821219218996</v>
      </c>
      <c r="N111" s="48">
        <f>+M111*L111</f>
        <v>-4.052981319431638E-3</v>
      </c>
    </row>
    <row r="112" spans="2:21" ht="24" x14ac:dyDescent="0.25">
      <c r="B112" s="40" t="s">
        <v>66</v>
      </c>
      <c r="C112" s="32">
        <v>6864</v>
      </c>
      <c r="D112" s="32">
        <v>5676</v>
      </c>
      <c r="E112" s="32">
        <v>5149</v>
      </c>
      <c r="F112" s="32">
        <v>5184</v>
      </c>
      <c r="G112" s="32">
        <v>5218</v>
      </c>
      <c r="H112" s="32">
        <v>5249</v>
      </c>
      <c r="I112" s="32">
        <v>5286</v>
      </c>
      <c r="L112" s="3">
        <f t="shared" si="33"/>
        <v>-9.2847075405214974E-2</v>
      </c>
      <c r="M112" s="1">
        <f>+E137/E$145</f>
        <v>3.3907127188905824E-2</v>
      </c>
      <c r="N112" s="48">
        <f t="shared" ref="N112:N116" si="34">+M112*L112</f>
        <v>-3.1481775948825536E-3</v>
      </c>
    </row>
    <row r="113" spans="2:14" ht="60" x14ac:dyDescent="0.25">
      <c r="B113" s="40" t="s">
        <v>67</v>
      </c>
      <c r="C113" s="32">
        <v>93</v>
      </c>
      <c r="D113" s="39">
        <v>52</v>
      </c>
      <c r="E113" s="32">
        <v>54</v>
      </c>
      <c r="F113" s="32">
        <v>60</v>
      </c>
      <c r="G113" s="32">
        <v>65</v>
      </c>
      <c r="H113" s="32">
        <v>68</v>
      </c>
      <c r="I113" s="32">
        <v>70</v>
      </c>
      <c r="L113" s="3">
        <f t="shared" si="33"/>
        <v>3.8461538461538547E-2</v>
      </c>
      <c r="M113" s="1">
        <f>+(E139+E141+E144)/E145</f>
        <v>0.15033481635704934</v>
      </c>
      <c r="N113" s="48">
        <f t="shared" si="34"/>
        <v>5.7821083214249875E-3</v>
      </c>
    </row>
    <row r="114" spans="2:14" ht="48" x14ac:dyDescent="0.25">
      <c r="B114" s="40" t="s">
        <v>68</v>
      </c>
      <c r="C114" s="39">
        <v>12.3</v>
      </c>
      <c r="D114" s="39">
        <v>12.4</v>
      </c>
      <c r="E114" s="39">
        <v>11.7</v>
      </c>
      <c r="F114" s="39">
        <v>12.2</v>
      </c>
      <c r="G114" s="39">
        <v>12.2</v>
      </c>
      <c r="H114" s="39">
        <v>12.2</v>
      </c>
      <c r="I114" s="39">
        <v>12.2</v>
      </c>
      <c r="L114" s="3">
        <f t="shared" si="33"/>
        <v>-5.6451612903225867E-2</v>
      </c>
      <c r="M114" s="1">
        <f>+E140/E145</f>
        <v>0.5140763323460279</v>
      </c>
      <c r="N114" s="48">
        <f t="shared" si="34"/>
        <v>-2.902043811630806E-2</v>
      </c>
    </row>
    <row r="115" spans="2:14" ht="36" x14ac:dyDescent="0.25">
      <c r="B115" s="40" t="s">
        <v>69</v>
      </c>
      <c r="C115" s="32">
        <v>16847</v>
      </c>
      <c r="D115" s="32">
        <v>12507</v>
      </c>
      <c r="E115" s="32">
        <v>10302</v>
      </c>
      <c r="F115" s="32">
        <v>10404</v>
      </c>
      <c r="G115" s="32">
        <v>10439</v>
      </c>
      <c r="H115" s="32">
        <v>10439</v>
      </c>
      <c r="I115" s="32">
        <v>10439</v>
      </c>
      <c r="L115" s="3">
        <f t="shared" si="33"/>
        <v>-0.17630127128807871</v>
      </c>
      <c r="M115" s="1">
        <f>+E142/E145</f>
        <v>3.7658061824325725E-2</v>
      </c>
      <c r="N115" s="48">
        <f t="shared" si="34"/>
        <v>-6.6391641738736901E-3</v>
      </c>
    </row>
    <row r="116" spans="2:14" ht="36" x14ac:dyDescent="0.25">
      <c r="B116" s="33" t="s">
        <v>70</v>
      </c>
      <c r="C116" s="34">
        <v>30724</v>
      </c>
      <c r="D116" s="34">
        <v>29500</v>
      </c>
      <c r="E116" s="34">
        <v>30000</v>
      </c>
      <c r="F116" s="34">
        <v>30000</v>
      </c>
      <c r="G116" s="34">
        <v>30000</v>
      </c>
      <c r="H116" s="34">
        <v>30000</v>
      </c>
      <c r="I116" s="34">
        <v>30000</v>
      </c>
      <c r="L116" s="3">
        <f t="shared" si="33"/>
        <v>1.6949152542372836E-2</v>
      </c>
      <c r="M116" s="1">
        <f>+E143/E145</f>
        <v>1.0562929364282676E-2</v>
      </c>
      <c r="N116" s="48">
        <f t="shared" si="34"/>
        <v>1.7903270108953639E-4</v>
      </c>
    </row>
    <row r="117" spans="2:14" ht="144" x14ac:dyDescent="0.25">
      <c r="B117" s="31" t="s">
        <v>71</v>
      </c>
      <c r="C117" s="31"/>
      <c r="D117" s="31"/>
      <c r="E117" s="31"/>
      <c r="F117" s="31"/>
      <c r="G117" s="37"/>
      <c r="H117" s="37"/>
      <c r="I117" s="37"/>
      <c r="N117" s="49">
        <f>SUM(N111:N116)</f>
        <v>-3.6899620181981417E-2</v>
      </c>
    </row>
    <row r="118" spans="2:14" x14ac:dyDescent="0.25">
      <c r="N118" s="40"/>
    </row>
    <row r="119" spans="2:14" ht="72" x14ac:dyDescent="0.25">
      <c r="B119" s="41" t="s">
        <v>73</v>
      </c>
      <c r="C119" s="41"/>
      <c r="D119" s="41"/>
      <c r="E119" s="41"/>
      <c r="F119" s="41"/>
      <c r="G119" s="41"/>
      <c r="H119" s="41"/>
      <c r="I119" s="41"/>
      <c r="N119" s="40"/>
    </row>
    <row r="120" spans="2:14" ht="24" x14ac:dyDescent="0.25">
      <c r="B120" s="42" t="s">
        <v>74</v>
      </c>
      <c r="C120" s="38"/>
      <c r="D120" s="38"/>
      <c r="E120" s="38"/>
      <c r="F120" s="38"/>
      <c r="G120" s="38"/>
      <c r="H120" s="38"/>
      <c r="I120" s="38"/>
      <c r="N120" s="41"/>
    </row>
    <row r="121" spans="2:14" x14ac:dyDescent="0.25">
      <c r="B121" s="37"/>
      <c r="C121" s="43">
        <v>2014</v>
      </c>
      <c r="D121" s="43">
        <v>2015</v>
      </c>
      <c r="E121" s="43">
        <v>2016</v>
      </c>
      <c r="F121" s="43">
        <v>2017</v>
      </c>
      <c r="G121" s="43">
        <v>2018</v>
      </c>
      <c r="H121" s="43">
        <v>2019</v>
      </c>
      <c r="I121" s="43">
        <v>2020</v>
      </c>
    </row>
    <row r="122" spans="2:14" x14ac:dyDescent="0.25">
      <c r="B122" s="38"/>
      <c r="C122" s="44" t="s">
        <v>53</v>
      </c>
      <c r="D122" s="44" t="s">
        <v>53</v>
      </c>
      <c r="E122" s="44" t="s">
        <v>54</v>
      </c>
      <c r="F122" s="44" t="s">
        <v>54</v>
      </c>
      <c r="G122" s="44" t="s">
        <v>54</v>
      </c>
      <c r="H122" s="44" t="s">
        <v>54</v>
      </c>
      <c r="I122" s="44" t="s">
        <v>54</v>
      </c>
    </row>
    <row r="123" spans="2:14" ht="72" x14ac:dyDescent="0.25">
      <c r="B123" s="45" t="s">
        <v>75</v>
      </c>
      <c r="C123" s="37"/>
      <c r="D123" s="37"/>
      <c r="E123" s="37"/>
      <c r="F123" s="37"/>
      <c r="G123" s="37"/>
      <c r="H123" s="37"/>
      <c r="I123" s="37"/>
    </row>
    <row r="124" spans="2:14" x14ac:dyDescent="0.25">
      <c r="B124" s="40" t="s">
        <v>56</v>
      </c>
      <c r="C124" s="39">
        <v>63.7</v>
      </c>
      <c r="D124" s="39">
        <v>36.6</v>
      </c>
      <c r="E124" s="39">
        <v>35.299999999999997</v>
      </c>
      <c r="F124" s="39">
        <v>34.299999999999997</v>
      </c>
      <c r="G124" s="39">
        <v>38.5</v>
      </c>
      <c r="H124" s="39">
        <v>34.5</v>
      </c>
      <c r="I124" s="39">
        <v>35.6</v>
      </c>
    </row>
    <row r="125" spans="2:14" x14ac:dyDescent="0.25">
      <c r="B125" s="40" t="s">
        <v>62</v>
      </c>
      <c r="C125" s="39">
        <v>28.7</v>
      </c>
      <c r="D125" s="39">
        <v>34.799999999999997</v>
      </c>
      <c r="E125" s="39">
        <v>36.299999999999997</v>
      </c>
      <c r="F125" s="39">
        <v>33.200000000000003</v>
      </c>
      <c r="G125" s="39">
        <v>33.200000000000003</v>
      </c>
      <c r="H125" s="39">
        <v>34.200000000000003</v>
      </c>
      <c r="I125" s="39">
        <v>34.200000000000003</v>
      </c>
    </row>
    <row r="126" spans="2:14" x14ac:dyDescent="0.25">
      <c r="B126" s="40" t="s">
        <v>57</v>
      </c>
      <c r="C126" s="39">
        <v>243.1</v>
      </c>
      <c r="D126" s="39">
        <v>255.2</v>
      </c>
      <c r="E126" s="39">
        <v>309.39999999999998</v>
      </c>
      <c r="F126" s="39">
        <v>313</v>
      </c>
      <c r="G126" s="39">
        <v>358.6</v>
      </c>
      <c r="H126" s="39">
        <v>359.9</v>
      </c>
      <c r="I126" s="39">
        <v>383.9</v>
      </c>
    </row>
    <row r="127" spans="2:14" ht="15" customHeight="1" x14ac:dyDescent="0.25">
      <c r="B127" s="40" t="s">
        <v>58</v>
      </c>
      <c r="C127" s="39">
        <v>450.3</v>
      </c>
      <c r="D127" s="39">
        <v>434.8</v>
      </c>
      <c r="E127" s="39">
        <v>514.70000000000005</v>
      </c>
      <c r="F127" s="39">
        <v>575.1</v>
      </c>
      <c r="G127" s="39">
        <v>616</v>
      </c>
      <c r="H127" s="39">
        <v>654.29999999999995</v>
      </c>
      <c r="I127" s="39">
        <v>700.2</v>
      </c>
    </row>
    <row r="128" spans="2:14" ht="15" customHeight="1" x14ac:dyDescent="0.25">
      <c r="B128" s="40" t="s">
        <v>59</v>
      </c>
      <c r="C128" s="39">
        <v>1086.4000000000001</v>
      </c>
      <c r="D128" s="39">
        <v>878.3</v>
      </c>
      <c r="E128" s="39">
        <v>1068.4000000000001</v>
      </c>
      <c r="F128" s="39">
        <v>1150.2</v>
      </c>
      <c r="G128" s="39">
        <v>1134.3</v>
      </c>
      <c r="H128" s="39">
        <v>1071.4000000000001</v>
      </c>
      <c r="I128" s="39">
        <v>989.7</v>
      </c>
    </row>
    <row r="129" spans="2:9" x14ac:dyDescent="0.25">
      <c r="B129" s="40" t="s">
        <v>60</v>
      </c>
      <c r="C129" s="39">
        <v>13.8</v>
      </c>
      <c r="D129" s="39">
        <v>14.9</v>
      </c>
      <c r="E129" s="39">
        <v>17.8</v>
      </c>
      <c r="F129" s="39">
        <v>16.600000000000001</v>
      </c>
      <c r="G129" s="39">
        <v>16</v>
      </c>
      <c r="H129" s="39">
        <v>15.1</v>
      </c>
      <c r="I129" s="39">
        <v>14.3</v>
      </c>
    </row>
    <row r="130" spans="2:9" x14ac:dyDescent="0.25">
      <c r="B130" s="40" t="s">
        <v>61</v>
      </c>
      <c r="C130" s="39">
        <v>8.4</v>
      </c>
      <c r="D130" s="39">
        <v>10.6</v>
      </c>
      <c r="E130" s="39">
        <v>13.1</v>
      </c>
      <c r="F130" s="39">
        <v>13.1</v>
      </c>
      <c r="G130" s="39">
        <v>13.1</v>
      </c>
      <c r="H130" s="39">
        <v>13.1</v>
      </c>
      <c r="I130" s="39">
        <v>13.1</v>
      </c>
    </row>
    <row r="131" spans="2:9" ht="36" x14ac:dyDescent="0.25">
      <c r="B131" s="40" t="s">
        <v>76</v>
      </c>
      <c r="C131" s="39">
        <v>250.9</v>
      </c>
      <c r="D131" s="39">
        <v>211</v>
      </c>
      <c r="E131" s="39">
        <v>215.3</v>
      </c>
      <c r="F131" s="39">
        <v>219.8</v>
      </c>
      <c r="G131" s="39">
        <v>208.8</v>
      </c>
      <c r="H131" s="39">
        <v>196.2</v>
      </c>
      <c r="I131" s="39">
        <v>184.2</v>
      </c>
    </row>
    <row r="132" spans="2:9" ht="24" x14ac:dyDescent="0.25">
      <c r="B132" s="40" t="s">
        <v>77</v>
      </c>
      <c r="C132" s="39">
        <v>812.3</v>
      </c>
      <c r="D132" s="39">
        <v>706.3</v>
      </c>
      <c r="E132" s="39">
        <v>760.1</v>
      </c>
      <c r="F132" s="39">
        <v>767.9</v>
      </c>
      <c r="G132" s="39">
        <v>767.9</v>
      </c>
      <c r="H132" s="39">
        <v>767.9</v>
      </c>
      <c r="I132" s="39">
        <v>767.9</v>
      </c>
    </row>
    <row r="133" spans="2:9" ht="24" x14ac:dyDescent="0.25">
      <c r="B133" s="40" t="s">
        <v>78</v>
      </c>
      <c r="C133" s="39">
        <v>335.1</v>
      </c>
      <c r="D133" s="39">
        <v>362.8</v>
      </c>
      <c r="E133" s="39">
        <v>395.1</v>
      </c>
      <c r="F133" s="39">
        <v>427.3</v>
      </c>
      <c r="G133" s="39">
        <v>462.3</v>
      </c>
      <c r="H133" s="39">
        <v>500</v>
      </c>
      <c r="I133" s="39">
        <v>540.79999999999995</v>
      </c>
    </row>
    <row r="134" spans="2:9" ht="72" x14ac:dyDescent="0.25">
      <c r="B134" s="36" t="s">
        <v>79</v>
      </c>
      <c r="C134" s="46">
        <v>3292.7</v>
      </c>
      <c r="D134" s="46">
        <v>2945.4</v>
      </c>
      <c r="E134" s="46">
        <v>3365.5</v>
      </c>
      <c r="F134" s="46">
        <v>3550.4</v>
      </c>
      <c r="G134" s="46">
        <v>3648.5</v>
      </c>
      <c r="H134" s="46">
        <v>3646.5</v>
      </c>
      <c r="I134" s="46">
        <v>3663.9</v>
      </c>
    </row>
    <row r="135" spans="2:9" x14ac:dyDescent="0.25">
      <c r="B135" s="41" t="s">
        <v>80</v>
      </c>
      <c r="C135" s="36"/>
      <c r="D135" s="36"/>
      <c r="E135" s="36"/>
      <c r="F135" s="36"/>
      <c r="G135" s="36"/>
      <c r="H135" s="36"/>
      <c r="I135" s="36"/>
    </row>
    <row r="136" spans="2:9" x14ac:dyDescent="0.25">
      <c r="B136" s="40" t="s">
        <v>81</v>
      </c>
      <c r="C136" s="39">
        <v>5462.5</v>
      </c>
      <c r="D136" s="39">
        <v>5611.4</v>
      </c>
      <c r="E136" s="39">
        <v>6072.6</v>
      </c>
      <c r="F136" s="39">
        <v>6456.2</v>
      </c>
      <c r="G136" s="39">
        <v>6432.8</v>
      </c>
      <c r="H136" s="39">
        <v>6646</v>
      </c>
      <c r="I136" s="39">
        <v>6950.1</v>
      </c>
    </row>
    <row r="137" spans="2:9" x14ac:dyDescent="0.25">
      <c r="B137" s="40" t="s">
        <v>82</v>
      </c>
      <c r="C137" s="39">
        <v>1510.7</v>
      </c>
      <c r="D137" s="39">
        <v>553.4</v>
      </c>
      <c r="E137" s="39">
        <v>820.8</v>
      </c>
      <c r="F137" s="39">
        <v>1084.5</v>
      </c>
      <c r="G137" s="39">
        <v>1273.4000000000001</v>
      </c>
      <c r="H137" s="39">
        <v>1279.3</v>
      </c>
      <c r="I137" s="39">
        <v>1171.0999999999999</v>
      </c>
    </row>
    <row r="138" spans="2:9" x14ac:dyDescent="0.25">
      <c r="B138" s="40" t="s">
        <v>83</v>
      </c>
      <c r="C138" s="39">
        <v>83.3</v>
      </c>
      <c r="D138" s="39">
        <v>60.7</v>
      </c>
      <c r="E138" s="39">
        <v>63.1</v>
      </c>
      <c r="F138" s="39">
        <v>73.400000000000006</v>
      </c>
      <c r="G138" s="39">
        <v>82.1</v>
      </c>
      <c r="H138" s="39">
        <v>77.400000000000006</v>
      </c>
      <c r="I138" s="39">
        <v>51</v>
      </c>
    </row>
    <row r="139" spans="2:9" x14ac:dyDescent="0.25">
      <c r="B139" s="40" t="s">
        <v>84</v>
      </c>
      <c r="C139" s="39">
        <v>2037.1</v>
      </c>
      <c r="D139" s="39">
        <v>1077.2</v>
      </c>
      <c r="E139" s="39">
        <v>863.5</v>
      </c>
      <c r="F139" s="39">
        <v>685</v>
      </c>
      <c r="G139" s="39">
        <v>507.3</v>
      </c>
      <c r="H139" s="39">
        <v>364.3</v>
      </c>
      <c r="I139" s="39">
        <v>231.5</v>
      </c>
    </row>
    <row r="140" spans="2:9" x14ac:dyDescent="0.25">
      <c r="B140" s="40" t="s">
        <v>85</v>
      </c>
      <c r="C140" s="39">
        <v>5640.3</v>
      </c>
      <c r="D140" s="39">
        <v>11421.4</v>
      </c>
      <c r="E140" s="39">
        <v>12444.4</v>
      </c>
      <c r="F140" s="39">
        <v>12548.6</v>
      </c>
      <c r="G140" s="39">
        <v>11781.7</v>
      </c>
      <c r="H140" s="39">
        <v>11712</v>
      </c>
      <c r="I140" s="39">
        <v>11677.1</v>
      </c>
    </row>
    <row r="141" spans="2:9" ht="24" x14ac:dyDescent="0.25">
      <c r="B141" s="40" t="s">
        <v>86</v>
      </c>
      <c r="C141" s="39">
        <v>1324.8</v>
      </c>
      <c r="D141" s="39">
        <v>2456.5</v>
      </c>
      <c r="E141" s="39">
        <v>2445.3000000000002</v>
      </c>
      <c r="F141" s="39">
        <v>2349.8000000000002</v>
      </c>
      <c r="G141" s="39">
        <v>2408.5</v>
      </c>
      <c r="H141" s="39">
        <v>2468.6999999999998</v>
      </c>
      <c r="I141" s="39">
        <v>2530.5</v>
      </c>
    </row>
    <row r="142" spans="2:9" x14ac:dyDescent="0.25">
      <c r="B142" s="40" t="s">
        <v>87</v>
      </c>
      <c r="C142" s="39">
        <v>883.2</v>
      </c>
      <c r="D142" s="39">
        <v>774</v>
      </c>
      <c r="E142" s="39">
        <v>911.6</v>
      </c>
      <c r="F142" s="39">
        <v>969.1</v>
      </c>
      <c r="G142" s="39">
        <v>972.3</v>
      </c>
      <c r="H142" s="39">
        <v>972.3</v>
      </c>
      <c r="I142" s="39">
        <v>972.3</v>
      </c>
    </row>
    <row r="143" spans="2:9" x14ac:dyDescent="0.25">
      <c r="B143" s="40" t="s">
        <v>88</v>
      </c>
      <c r="C143" s="39">
        <v>112.1</v>
      </c>
      <c r="D143" s="39">
        <v>181.5</v>
      </c>
      <c r="E143" s="39">
        <v>255.7</v>
      </c>
      <c r="F143" s="39">
        <v>269.10000000000002</v>
      </c>
      <c r="G143" s="39">
        <v>269.10000000000002</v>
      </c>
      <c r="H143" s="39">
        <v>269.10000000000002</v>
      </c>
      <c r="I143" s="39">
        <v>269.10000000000002</v>
      </c>
    </row>
    <row r="144" spans="2:9" ht="36" x14ac:dyDescent="0.25">
      <c r="B144" s="40" t="s">
        <v>89</v>
      </c>
      <c r="C144" s="39">
        <v>468.6</v>
      </c>
      <c r="D144" s="39">
        <v>298</v>
      </c>
      <c r="E144" s="39">
        <v>330.4</v>
      </c>
      <c r="F144" s="39">
        <v>373.6</v>
      </c>
      <c r="G144" s="39">
        <v>410.7</v>
      </c>
      <c r="H144" s="39">
        <v>442.7</v>
      </c>
      <c r="I144" s="39">
        <v>461.6</v>
      </c>
    </row>
    <row r="145" spans="2:9" ht="36" x14ac:dyDescent="0.25">
      <c r="B145" s="41" t="s">
        <v>90</v>
      </c>
      <c r="C145" s="46">
        <v>17522.5</v>
      </c>
      <c r="D145" s="46">
        <v>22433.9</v>
      </c>
      <c r="E145" s="46">
        <v>24207.3</v>
      </c>
      <c r="F145" s="46">
        <v>24809.4</v>
      </c>
      <c r="G145" s="46">
        <v>24138</v>
      </c>
      <c r="H145" s="46">
        <v>24231.9</v>
      </c>
      <c r="I145" s="46">
        <v>24314.400000000001</v>
      </c>
    </row>
    <row r="146" spans="2:9" ht="36" x14ac:dyDescent="0.25">
      <c r="B146" s="42" t="s">
        <v>91</v>
      </c>
      <c r="C146" s="47">
        <v>20815.2</v>
      </c>
      <c r="D146" s="47">
        <v>25379.3</v>
      </c>
      <c r="E146" s="47">
        <v>27572.9</v>
      </c>
      <c r="F146" s="47">
        <v>28359.8</v>
      </c>
      <c r="G146" s="47">
        <v>27786.5</v>
      </c>
      <c r="H146" s="47">
        <v>27878.5</v>
      </c>
      <c r="I146" s="47">
        <v>27978.2</v>
      </c>
    </row>
    <row r="147" spans="2:9" ht="96" x14ac:dyDescent="0.25">
      <c r="B147" s="35" t="s">
        <v>92</v>
      </c>
      <c r="C147" s="35"/>
      <c r="D147" s="35"/>
      <c r="E147" s="37"/>
      <c r="F147" s="37"/>
      <c r="G147" s="37"/>
      <c r="H147" s="37"/>
      <c r="I147" s="37"/>
    </row>
    <row r="148" spans="2:9" ht="96" x14ac:dyDescent="0.25">
      <c r="B148" s="40" t="s">
        <v>93</v>
      </c>
      <c r="C148" s="40"/>
      <c r="D148" s="40"/>
      <c r="E148" s="36"/>
      <c r="F148" s="36"/>
      <c r="G148" s="36"/>
      <c r="H148" s="36"/>
      <c r="I148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view="pageBreakPreview" zoomScale="60" zoomScaleNormal="130" workbookViewId="0">
      <selection activeCell="B3" sqref="B3:I11"/>
    </sheetView>
  </sheetViews>
  <sheetFormatPr defaultRowHeight="15" x14ac:dyDescent="0.25"/>
  <cols>
    <col min="2" max="2" width="36.140625" customWidth="1"/>
  </cols>
  <sheetData>
    <row r="1" spans="1:9" x14ac:dyDescent="0.25">
      <c r="A1" t="s">
        <v>117</v>
      </c>
    </row>
    <row r="2" spans="1:9" ht="75" customHeight="1" x14ac:dyDescent="0.25"/>
    <row r="3" spans="1:9" ht="135.75" customHeight="1" x14ac:dyDescent="0.25">
      <c r="B3" s="25"/>
      <c r="C3" s="56" t="s">
        <v>118</v>
      </c>
      <c r="D3" s="56"/>
      <c r="E3" s="57" t="s">
        <v>125</v>
      </c>
      <c r="F3" s="57" t="s">
        <v>124</v>
      </c>
      <c r="G3" s="57" t="s">
        <v>123</v>
      </c>
      <c r="H3" s="57" t="s">
        <v>126</v>
      </c>
      <c r="I3" s="57" t="s">
        <v>127</v>
      </c>
    </row>
    <row r="4" spans="1:9" x14ac:dyDescent="0.25">
      <c r="B4" s="25"/>
      <c r="C4" s="28">
        <v>2010</v>
      </c>
      <c r="D4" s="28">
        <v>2015</v>
      </c>
      <c r="E4" s="28">
        <v>2013</v>
      </c>
      <c r="F4" s="28">
        <v>2015</v>
      </c>
      <c r="G4" s="25"/>
      <c r="H4" s="25"/>
      <c r="I4" s="25"/>
    </row>
    <row r="5" spans="1:9" hidden="1" x14ac:dyDescent="0.25">
      <c r="B5" s="25" t="s">
        <v>122</v>
      </c>
      <c r="C5" s="52">
        <v>0.2</v>
      </c>
      <c r="D5" s="52">
        <v>0.28999999999999998</v>
      </c>
      <c r="E5" s="53">
        <f>+(Sheet1!N35+Sheet1!N36)/1000</f>
        <v>6.0209999999999999</v>
      </c>
      <c r="F5" s="53">
        <f>+D5*F$9</f>
        <v>18.617999999999999</v>
      </c>
      <c r="G5" s="52">
        <f>+F5/E5-1</f>
        <v>2.0921773791728948</v>
      </c>
      <c r="H5" s="54">
        <f>+H6</f>
        <v>0.112</v>
      </c>
      <c r="I5" s="54">
        <f t="shared" ref="I5:I10" si="0">+G5-H5</f>
        <v>1.9801773791728947</v>
      </c>
    </row>
    <row r="6" spans="1:9" x14ac:dyDescent="0.25">
      <c r="B6" s="25" t="s">
        <v>119</v>
      </c>
      <c r="C6" s="52">
        <v>0.2</v>
      </c>
      <c r="D6" s="52">
        <v>0.17</v>
      </c>
      <c r="E6" s="58">
        <f>+Sheet1!N34/1000</f>
        <v>9.2149999999999999</v>
      </c>
      <c r="F6" s="58">
        <f t="shared" ref="F6:F8" si="1">+D6*F$9</f>
        <v>10.914000000000001</v>
      </c>
      <c r="G6" s="52">
        <f t="shared" ref="G6:G10" si="2">+F6/E6-1</f>
        <v>0.18437330439500821</v>
      </c>
      <c r="H6" s="52">
        <v>0.112</v>
      </c>
      <c r="I6" s="55">
        <f t="shared" si="0"/>
        <v>7.2373304395008206E-2</v>
      </c>
    </row>
    <row r="7" spans="1:9" x14ac:dyDescent="0.25">
      <c r="B7" s="25" t="s">
        <v>5</v>
      </c>
      <c r="C7" s="52">
        <v>0.1</v>
      </c>
      <c r="D7" s="52">
        <v>0.08</v>
      </c>
      <c r="E7" s="58">
        <f>+Sheet1!N39/1000</f>
        <v>4.5330000000000004</v>
      </c>
      <c r="F7" s="58">
        <f t="shared" si="1"/>
        <v>5.1360000000000001</v>
      </c>
      <c r="G7" s="52">
        <f t="shared" si="2"/>
        <v>0.13302448709463932</v>
      </c>
      <c r="H7" s="54">
        <f>+H6</f>
        <v>0.112</v>
      </c>
      <c r="I7" s="55">
        <f t="shared" si="0"/>
        <v>2.1024487094639319E-2</v>
      </c>
    </row>
    <row r="8" spans="1:9" x14ac:dyDescent="0.25">
      <c r="B8" s="25" t="s">
        <v>44</v>
      </c>
      <c r="C8" s="52">
        <v>0.51</v>
      </c>
      <c r="D8" s="52">
        <v>0.47</v>
      </c>
      <c r="E8" s="58">
        <f>+E9-E5-E6-E7</f>
        <v>27.730999999999995</v>
      </c>
      <c r="F8" s="58">
        <f t="shared" si="1"/>
        <v>30.173999999999999</v>
      </c>
      <c r="G8" s="52">
        <f t="shared" si="2"/>
        <v>8.8096354260575049E-2</v>
      </c>
      <c r="H8" s="54">
        <f t="shared" ref="H8:H10" si="3">+H7</f>
        <v>0.112</v>
      </c>
      <c r="I8" s="55">
        <f t="shared" si="0"/>
        <v>-2.3903645739424953E-2</v>
      </c>
    </row>
    <row r="9" spans="1:9" hidden="1" x14ac:dyDescent="0.25">
      <c r="B9" s="25" t="s">
        <v>121</v>
      </c>
      <c r="C9" s="52">
        <v>1</v>
      </c>
      <c r="D9" s="52">
        <v>1</v>
      </c>
      <c r="E9" s="58">
        <f>+Sheet1!N45</f>
        <v>47.5</v>
      </c>
      <c r="F9" s="58">
        <f>+Sheet1!P45</f>
        <v>64.2</v>
      </c>
      <c r="G9" s="52">
        <f t="shared" si="2"/>
        <v>0.35157894736842121</v>
      </c>
      <c r="H9" s="54">
        <f t="shared" si="3"/>
        <v>0.112</v>
      </c>
      <c r="I9" s="55">
        <f t="shared" si="0"/>
        <v>0.23957894736842122</v>
      </c>
    </row>
    <row r="10" spans="1:9" x14ac:dyDescent="0.25">
      <c r="B10" s="25" t="s">
        <v>96</v>
      </c>
      <c r="C10" s="54">
        <f>+C9-C5</f>
        <v>0.8</v>
      </c>
      <c r="D10" s="54">
        <f>+D9-D5</f>
        <v>0.71</v>
      </c>
      <c r="E10" s="58">
        <f>+E9-E5</f>
        <v>41.478999999999999</v>
      </c>
      <c r="F10" s="58">
        <f>+F9*D10</f>
        <v>45.582000000000001</v>
      </c>
      <c r="G10" s="52">
        <f t="shared" si="2"/>
        <v>9.8917524530485412E-2</v>
      </c>
      <c r="H10" s="54">
        <f t="shared" si="3"/>
        <v>0.112</v>
      </c>
      <c r="I10" s="55">
        <f t="shared" si="0"/>
        <v>-1.308247546951459E-2</v>
      </c>
    </row>
    <row r="11" spans="1:9" x14ac:dyDescent="0.25">
      <c r="B11" t="s">
        <v>120</v>
      </c>
    </row>
  </sheetData>
  <mergeCells count="1">
    <mergeCell ref="C3:D3"/>
  </mergeCells>
  <pageMargins left="0.7" right="0.7" top="0.75" bottom="0.75" header="0.3" footer="0.3"/>
  <pageSetup paperSize="284" scale="71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8"/>
  <sheetViews>
    <sheetView workbookViewId="0">
      <selection activeCell="B3" sqref="B3:G8"/>
    </sheetView>
  </sheetViews>
  <sheetFormatPr defaultRowHeight="15" x14ac:dyDescent="0.25"/>
  <cols>
    <col min="2" max="2" width="20.7109375" customWidth="1"/>
    <col min="3" max="7" width="12.85546875" style="23" customWidth="1"/>
  </cols>
  <sheetData>
    <row r="3" spans="2:7" ht="45" x14ac:dyDescent="0.25">
      <c r="B3" s="24" t="s">
        <v>50</v>
      </c>
      <c r="C3" s="24" t="str">
        <f>+Sheet1!C69</f>
        <v>Treasury 2015 weights</v>
      </c>
      <c r="D3" s="24" t="str">
        <f>+Sheet1!D69</f>
        <v>NSO BPNG 2015 weights</v>
      </c>
      <c r="E3" s="24" t="str">
        <f>+Sheet1!E69</f>
        <v>Treasury 2016 Sector Deflator</v>
      </c>
      <c r="F3" s="24" t="str">
        <f>+Sheet1!F69</f>
        <v>Treasury weighted deflator</v>
      </c>
      <c r="G3" s="24" t="str">
        <f>+Sheet1!G69</f>
        <v>NSO BPNG weighted deflator</v>
      </c>
    </row>
    <row r="4" spans="2:7" x14ac:dyDescent="0.25">
      <c r="B4" s="25" t="str">
        <f>+Sheet1!B70</f>
        <v>Agriculture</v>
      </c>
      <c r="C4" s="26">
        <f>+Sheet1!C70</f>
        <v>0.21026648087283903</v>
      </c>
      <c r="D4" s="26">
        <f>+Sheet1!D70</f>
        <v>0.17</v>
      </c>
      <c r="E4" s="30">
        <f>+Sheet1!E70</f>
        <v>4.9348598499802554E-2</v>
      </c>
      <c r="F4" s="27">
        <f>+Sheet1!F70</f>
        <v>1.0376356142560146E-2</v>
      </c>
      <c r="G4" s="27">
        <f>+Sheet1!G70</f>
        <v>8.3892617449664343E-3</v>
      </c>
    </row>
    <row r="5" spans="2:7" x14ac:dyDescent="0.25">
      <c r="B5" s="25" t="str">
        <f>+Sheet1!B71</f>
        <v>Mining and Petroleum</v>
      </c>
      <c r="C5" s="26">
        <f>+Sheet1!C71</f>
        <v>0.33500116611104902</v>
      </c>
      <c r="D5" s="26">
        <f>+Sheet1!D71</f>
        <v>0.28999999999999998</v>
      </c>
      <c r="E5" s="29">
        <f>+Sheet1!E71</f>
        <v>-1.2012266546648579E-2</v>
      </c>
      <c r="F5" s="27">
        <f>+Sheet1!F71</f>
        <v>-4.024123300764018E-3</v>
      </c>
      <c r="G5" s="27">
        <f>+Sheet1!G71</f>
        <v>-3.4835572985280876E-3</v>
      </c>
    </row>
    <row r="6" spans="2:7" x14ac:dyDescent="0.25">
      <c r="B6" s="25" t="str">
        <f>+Sheet1!B72</f>
        <v>Construction</v>
      </c>
      <c r="C6" s="26">
        <f>+Sheet1!C72</f>
        <v>0.15151800220679165</v>
      </c>
      <c r="D6" s="26">
        <f>+Sheet1!D72</f>
        <v>0.08</v>
      </c>
      <c r="E6" s="30">
        <f>+Sheet1!E72</f>
        <v>5.7048367093840424E-2</v>
      </c>
      <c r="F6" s="27">
        <f>+Sheet1!F72</f>
        <v>8.643854611218374E-3</v>
      </c>
      <c r="G6" s="27">
        <f>+Sheet1!G72</f>
        <v>4.5638693675072338E-3</v>
      </c>
    </row>
    <row r="7" spans="2:7" x14ac:dyDescent="0.25">
      <c r="B7" s="25" t="str">
        <f>+Sheet1!B73</f>
        <v>Other</v>
      </c>
      <c r="C7" s="26">
        <f>+Sheet1!C73</f>
        <v>0.29071638415421674</v>
      </c>
      <c r="D7" s="26">
        <f>+Sheet1!D73</f>
        <v>0.46</v>
      </c>
      <c r="E7" s="30">
        <f>+Sheet1!E73</f>
        <v>5.7433660487095528E-2</v>
      </c>
      <c r="F7" s="27">
        <f>+Sheet1!F73</f>
        <v>1.6696906105549324E-2</v>
      </c>
      <c r="G7" s="27">
        <f>+Sheet1!G73</f>
        <v>2.6419483824063943E-2</v>
      </c>
    </row>
    <row r="8" spans="2:7" x14ac:dyDescent="0.25">
      <c r="B8" s="25"/>
      <c r="C8" s="28"/>
      <c r="D8" s="28"/>
      <c r="E8" s="28"/>
      <c r="F8" s="29">
        <f>+Sheet1!F74</f>
        <v>3.1692993558563823E-2</v>
      </c>
      <c r="G8" s="29">
        <f>+Sheet1!G74</f>
        <v>3.5889057638009522E-2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9"/>
  <sheetViews>
    <sheetView workbookViewId="0">
      <selection activeCell="B32" sqref="B32"/>
    </sheetView>
  </sheetViews>
  <sheetFormatPr defaultRowHeight="15" x14ac:dyDescent="0.25"/>
  <cols>
    <col min="2" max="2" width="39.7109375" customWidth="1"/>
    <col min="3" max="3" width="16" customWidth="1"/>
  </cols>
  <sheetData>
    <row r="3" spans="2:4" x14ac:dyDescent="0.25">
      <c r="B3" t="s">
        <v>99</v>
      </c>
    </row>
    <row r="4" spans="2:4" x14ac:dyDescent="0.25">
      <c r="B4" t="s">
        <v>116</v>
      </c>
    </row>
    <row r="5" spans="2:4" x14ac:dyDescent="0.25">
      <c r="B5" t="s">
        <v>100</v>
      </c>
    </row>
    <row r="6" spans="2:4" x14ac:dyDescent="0.25">
      <c r="B6" t="s">
        <v>101</v>
      </c>
    </row>
    <row r="7" spans="2:4" x14ac:dyDescent="0.25">
      <c r="B7" t="s">
        <v>102</v>
      </c>
    </row>
    <row r="8" spans="2:4" x14ac:dyDescent="0.25">
      <c r="C8" t="s">
        <v>105</v>
      </c>
      <c r="D8" t="s">
        <v>106</v>
      </c>
    </row>
    <row r="9" spans="2:4" x14ac:dyDescent="0.25">
      <c r="B9" t="s">
        <v>103</v>
      </c>
    </row>
    <row r="10" spans="2:4" x14ac:dyDescent="0.25">
      <c r="B10" t="s">
        <v>0</v>
      </c>
      <c r="C10">
        <v>-18.600000000000001</v>
      </c>
      <c r="D10">
        <v>-28.2</v>
      </c>
    </row>
    <row r="11" spans="2:4" x14ac:dyDescent="0.25">
      <c r="B11" t="s">
        <v>1</v>
      </c>
      <c r="C11">
        <v>-20.7</v>
      </c>
      <c r="D11">
        <v>-21.8</v>
      </c>
    </row>
    <row r="12" spans="2:4" x14ac:dyDescent="0.25">
      <c r="B12" t="s">
        <v>2</v>
      </c>
    </row>
    <row r="13" spans="2:4" x14ac:dyDescent="0.25">
      <c r="B13" t="s">
        <v>3</v>
      </c>
      <c r="C13">
        <v>-6.3</v>
      </c>
      <c r="D13">
        <v>-17.600000000000001</v>
      </c>
    </row>
    <row r="14" spans="2:4" x14ac:dyDescent="0.25">
      <c r="B14" t="s">
        <v>4</v>
      </c>
    </row>
    <row r="15" spans="2:4" x14ac:dyDescent="0.25">
      <c r="B15" t="s">
        <v>5</v>
      </c>
      <c r="C15">
        <v>35.6</v>
      </c>
      <c r="D15">
        <v>117.6</v>
      </c>
    </row>
    <row r="16" spans="2:4" x14ac:dyDescent="0.25">
      <c r="B16" t="s">
        <v>108</v>
      </c>
      <c r="C16">
        <v>-10.7</v>
      </c>
      <c r="D16">
        <v>-17.399999999999999</v>
      </c>
    </row>
    <row r="17" spans="2:4" x14ac:dyDescent="0.25">
      <c r="B17" t="s">
        <v>109</v>
      </c>
      <c r="C17">
        <v>-0.9</v>
      </c>
      <c r="D17">
        <v>-17.8</v>
      </c>
    </row>
    <row r="18" spans="2:4" x14ac:dyDescent="0.25">
      <c r="B18" t="s">
        <v>7</v>
      </c>
      <c r="C18">
        <v>2.8</v>
      </c>
      <c r="D18">
        <v>-7.2</v>
      </c>
    </row>
    <row r="19" spans="2:4" x14ac:dyDescent="0.25">
      <c r="B19" t="s">
        <v>8</v>
      </c>
      <c r="C19">
        <v>3.1</v>
      </c>
      <c r="D19">
        <v>13.7</v>
      </c>
    </row>
    <row r="20" spans="2:4" x14ac:dyDescent="0.25">
      <c r="B20" t="s">
        <v>9</v>
      </c>
    </row>
    <row r="21" spans="2:4" x14ac:dyDescent="0.25">
      <c r="B21" t="s">
        <v>104</v>
      </c>
      <c r="C21">
        <v>-14.4</v>
      </c>
      <c r="D21">
        <v>-16</v>
      </c>
    </row>
    <row r="22" spans="2:4" x14ac:dyDescent="0.25">
      <c r="B22" t="s">
        <v>107</v>
      </c>
      <c r="C22">
        <v>-6.7</v>
      </c>
    </row>
    <row r="24" spans="2:4" x14ac:dyDescent="0.25">
      <c r="B24" t="s">
        <v>110</v>
      </c>
      <c r="C24">
        <v>-68.3</v>
      </c>
      <c r="D24">
        <v>-60.4</v>
      </c>
    </row>
    <row r="25" spans="2:4" x14ac:dyDescent="0.25">
      <c r="B25" t="s">
        <v>111</v>
      </c>
      <c r="C25">
        <v>-8.6999999999999993</v>
      </c>
      <c r="D25">
        <v>1.3</v>
      </c>
    </row>
    <row r="26" spans="2:4" x14ac:dyDescent="0.25">
      <c r="B26" t="s">
        <v>112</v>
      </c>
      <c r="C26">
        <v>-7</v>
      </c>
      <c r="D26">
        <v>5.6</v>
      </c>
    </row>
    <row r="27" spans="2:4" x14ac:dyDescent="0.25">
      <c r="B27" t="s">
        <v>113</v>
      </c>
      <c r="C27">
        <v>-4.4000000000000004</v>
      </c>
      <c r="D27">
        <v>-28.4</v>
      </c>
    </row>
    <row r="28" spans="2:4" x14ac:dyDescent="0.25">
      <c r="B28" t="s">
        <v>114</v>
      </c>
      <c r="C28">
        <v>2.7</v>
      </c>
      <c r="D28">
        <v>-8.1999999999999993</v>
      </c>
    </row>
    <row r="29" spans="2:4" x14ac:dyDescent="0.25">
      <c r="B29" t="s">
        <v>115</v>
      </c>
      <c r="C29">
        <v>1.2</v>
      </c>
      <c r="D29">
        <v>-18.5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Sheet4</vt:lpstr>
      <vt:lpstr>Sheet2</vt:lpstr>
      <vt:lpstr>Movement in sales</vt:lpstr>
      <vt:lpstr>Sheet4!Print_Area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IPPPE Dell 14</dc:creator>
  <cp:lastModifiedBy>Paul</cp:lastModifiedBy>
  <cp:lastPrinted>2016-07-14T02:23:23Z</cp:lastPrinted>
  <dcterms:created xsi:type="dcterms:W3CDTF">2016-05-16T06:53:48Z</dcterms:created>
  <dcterms:modified xsi:type="dcterms:W3CDTF">2016-07-14T02:25:06Z</dcterms:modified>
</cp:coreProperties>
</file>